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'REG2'!$A$1:$AN$74</definedName>
    <definedName name="_xlnm.Print_Titles" localSheetId="0">'REG2'!$A:$A,'REG2'!$1:$4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3" i="1" l="1"/>
  <c r="AG73" i="1"/>
  <c r="AH73" i="1" s="1"/>
  <c r="AI73" i="1" s="1"/>
  <c r="AB73" i="1"/>
  <c r="AC73" i="1" s="1"/>
  <c r="AD73" i="1" s="1"/>
  <c r="X73" i="1"/>
  <c r="Y73" i="1" s="1"/>
  <c r="R73" i="1"/>
  <c r="S73" i="1" s="1"/>
  <c r="T73" i="1" s="1"/>
  <c r="N73" i="1"/>
  <c r="O73" i="1" s="1"/>
  <c r="M73" i="1"/>
  <c r="H73" i="1"/>
  <c r="I73" i="1" s="1"/>
  <c r="J73" i="1" s="1"/>
  <c r="C73" i="1"/>
  <c r="AL73" i="1" s="1"/>
  <c r="AF72" i="1"/>
  <c r="AB72" i="1"/>
  <c r="AA72" i="1"/>
  <c r="AC72" i="1" s="1"/>
  <c r="AD72" i="1" s="1"/>
  <c r="W72" i="1"/>
  <c r="V72" i="1"/>
  <c r="X72" i="1" s="1"/>
  <c r="Y72" i="1" s="1"/>
  <c r="Q72" i="1"/>
  <c r="M72" i="1"/>
  <c r="L72" i="1"/>
  <c r="N72" i="1" s="1"/>
  <c r="O72" i="1" s="1"/>
  <c r="H72" i="1"/>
  <c r="G72" i="1"/>
  <c r="I72" i="1" s="1"/>
  <c r="J72" i="1" s="1"/>
  <c r="B72" i="1"/>
  <c r="AK71" i="1"/>
  <c r="AF71" i="1"/>
  <c r="AA71" i="1"/>
  <c r="W71" i="1"/>
  <c r="V71" i="1"/>
  <c r="X71" i="1" s="1"/>
  <c r="Y71" i="1" s="1"/>
  <c r="R71" i="1"/>
  <c r="Q71" i="1"/>
  <c r="S71" i="1" s="1"/>
  <c r="T71" i="1" s="1"/>
  <c r="L71" i="1"/>
  <c r="H71" i="1"/>
  <c r="G71" i="1"/>
  <c r="I71" i="1" s="1"/>
  <c r="J71" i="1" s="1"/>
  <c r="B71" i="1"/>
  <c r="AK70" i="1"/>
  <c r="AG70" i="1"/>
  <c r="AD70" i="1"/>
  <c r="AC70" i="1"/>
  <c r="X70" i="1"/>
  <c r="Y70" i="1" s="1"/>
  <c r="S70" i="1"/>
  <c r="T70" i="1" s="1"/>
  <c r="N70" i="1"/>
  <c r="O70" i="1" s="1"/>
  <c r="I70" i="1"/>
  <c r="J70" i="1" s="1"/>
  <c r="D70" i="1"/>
  <c r="E70" i="1" s="1"/>
  <c r="AK69" i="1"/>
  <c r="AH69" i="1"/>
  <c r="AI69" i="1" s="1"/>
  <c r="AG69" i="1"/>
  <c r="AG72" i="1" s="1"/>
  <c r="AH72" i="1" s="1"/>
  <c r="AI72" i="1" s="1"/>
  <c r="AB69" i="1"/>
  <c r="AB71" i="1" s="1"/>
  <c r="AC71" i="1" s="1"/>
  <c r="AD71" i="1" s="1"/>
  <c r="X69" i="1"/>
  <c r="Y69" i="1" s="1"/>
  <c r="R69" i="1"/>
  <c r="S69" i="1" s="1"/>
  <c r="T69" i="1" s="1"/>
  <c r="M69" i="1"/>
  <c r="N69" i="1" s="1"/>
  <c r="O69" i="1" s="1"/>
  <c r="J69" i="1"/>
  <c r="I69" i="1"/>
  <c r="H69" i="1"/>
  <c r="D69" i="1"/>
  <c r="E69" i="1" s="1"/>
  <c r="C69" i="1"/>
  <c r="AG68" i="1"/>
  <c r="AF68" i="1"/>
  <c r="AI68" i="1" s="1"/>
  <c r="AD68" i="1"/>
  <c r="Y68" i="1"/>
  <c r="R68" i="1"/>
  <c r="T68" i="1" s="1"/>
  <c r="M68" i="1"/>
  <c r="L68" i="1"/>
  <c r="AK68" i="1" s="1"/>
  <c r="AN68" i="1" s="1"/>
  <c r="H68" i="1"/>
  <c r="AL68" i="1" s="1"/>
  <c r="E68" i="1"/>
  <c r="C68" i="1"/>
  <c r="AN67" i="1"/>
  <c r="AI67" i="1"/>
  <c r="AD67" i="1"/>
  <c r="Y67" i="1"/>
  <c r="T67" i="1"/>
  <c r="O67" i="1"/>
  <c r="J67" i="1"/>
  <c r="E67" i="1"/>
  <c r="AF66" i="1"/>
  <c r="AA66" i="1"/>
  <c r="W66" i="1"/>
  <c r="X66" i="1" s="1"/>
  <c r="Y66" i="1" s="1"/>
  <c r="V66" i="1"/>
  <c r="Q66" i="1"/>
  <c r="L66" i="1"/>
  <c r="G66" i="1"/>
  <c r="B66" i="1"/>
  <c r="AA65" i="1"/>
  <c r="W65" i="1"/>
  <c r="V65" i="1"/>
  <c r="Q65" i="1"/>
  <c r="L65" i="1"/>
  <c r="G65" i="1"/>
  <c r="B65" i="1"/>
  <c r="AF64" i="1"/>
  <c r="AA64" i="1"/>
  <c r="V64" i="1"/>
  <c r="Q64" i="1"/>
  <c r="L64" i="1"/>
  <c r="O64" i="1" s="1"/>
  <c r="G64" i="1"/>
  <c r="J64" i="1" s="1"/>
  <c r="B64" i="1"/>
  <c r="AF65" i="1"/>
  <c r="AB63" i="1"/>
  <c r="AC63" i="1" s="1"/>
  <c r="AD63" i="1" s="1"/>
  <c r="X63" i="1"/>
  <c r="Y63" i="1" s="1"/>
  <c r="R63" i="1"/>
  <c r="R65" i="1" s="1"/>
  <c r="S65" i="1" s="1"/>
  <c r="T65" i="1" s="1"/>
  <c r="M63" i="1"/>
  <c r="N63" i="1" s="1"/>
  <c r="O63" i="1" s="1"/>
  <c r="H63" i="1"/>
  <c r="AL63" i="1" s="1"/>
  <c r="D63" i="1"/>
  <c r="E63" i="1" s="1"/>
  <c r="AK62" i="1"/>
  <c r="AG65" i="1"/>
  <c r="AB65" i="1"/>
  <c r="AC65" i="1" s="1"/>
  <c r="AD65" i="1" s="1"/>
  <c r="X62" i="1"/>
  <c r="Y62" i="1" s="1"/>
  <c r="S62" i="1"/>
  <c r="T62" i="1" s="1"/>
  <c r="M65" i="1"/>
  <c r="N65" i="1" s="1"/>
  <c r="O65" i="1" s="1"/>
  <c r="D62" i="1"/>
  <c r="E62" i="1" s="1"/>
  <c r="AK61" i="1"/>
  <c r="AH61" i="1"/>
  <c r="AI61" i="1" s="1"/>
  <c r="X61" i="1"/>
  <c r="Y61" i="1" s="1"/>
  <c r="N61" i="1"/>
  <c r="O61" i="1" s="1"/>
  <c r="AB58" i="1"/>
  <c r="Q58" i="1"/>
  <c r="M58" i="1"/>
  <c r="L58" i="1"/>
  <c r="AG59" i="1"/>
  <c r="AF59" i="1"/>
  <c r="AB59" i="1"/>
  <c r="AA59" i="1"/>
  <c r="R59" i="1"/>
  <c r="Q59" i="1"/>
  <c r="M59" i="1"/>
  <c r="L59" i="1"/>
  <c r="H59" i="1"/>
  <c r="G59" i="1"/>
  <c r="C59" i="1"/>
  <c r="B59" i="1"/>
  <c r="AF58" i="1"/>
  <c r="AA58" i="1"/>
  <c r="G58" i="1"/>
  <c r="B58" i="1"/>
  <c r="AL57" i="1"/>
  <c r="AF57" i="1"/>
  <c r="AA57" i="1"/>
  <c r="AC57" i="1" s="1"/>
  <c r="AD57" i="1" s="1"/>
  <c r="V57" i="1"/>
  <c r="X57" i="1" s="1"/>
  <c r="Y57" i="1" s="1"/>
  <c r="Q57" i="1"/>
  <c r="S57" i="1" s="1"/>
  <c r="T57" i="1" s="1"/>
  <c r="L57" i="1"/>
  <c r="N57" i="1" s="1"/>
  <c r="O57" i="1" s="1"/>
  <c r="G57" i="1"/>
  <c r="I57" i="1" s="1"/>
  <c r="J57" i="1" s="1"/>
  <c r="B57" i="1"/>
  <c r="D57" i="1" s="1"/>
  <c r="E57" i="1" s="1"/>
  <c r="AL56" i="1"/>
  <c r="AF56" i="1"/>
  <c r="AA56" i="1"/>
  <c r="AC56" i="1" s="1"/>
  <c r="V56" i="1"/>
  <c r="X56" i="1" s="1"/>
  <c r="Y56" i="1" s="1"/>
  <c r="Q56" i="1"/>
  <c r="S56" i="1" s="1"/>
  <c r="T56" i="1" s="1"/>
  <c r="L56" i="1"/>
  <c r="N56" i="1" s="1"/>
  <c r="O56" i="1" s="1"/>
  <c r="G56" i="1"/>
  <c r="I56" i="1" s="1"/>
  <c r="J56" i="1" s="1"/>
  <c r="B56" i="1"/>
  <c r="D56" i="1" s="1"/>
  <c r="E56" i="1" s="1"/>
  <c r="AK55" i="1"/>
  <c r="AM55" i="1" s="1"/>
  <c r="AN55" i="1" s="1"/>
  <c r="AF55" i="1"/>
  <c r="AA55" i="1"/>
  <c r="AC55" i="1" s="1"/>
  <c r="V55" i="1"/>
  <c r="X55" i="1" s="1"/>
  <c r="Q55" i="1"/>
  <c r="S55" i="1" s="1"/>
  <c r="T55" i="1" s="1"/>
  <c r="L55" i="1"/>
  <c r="N55" i="1" s="1"/>
  <c r="O55" i="1" s="1"/>
  <c r="G55" i="1"/>
  <c r="I55" i="1" s="1"/>
  <c r="J55" i="1" s="1"/>
  <c r="B55" i="1"/>
  <c r="D55" i="1" s="1"/>
  <c r="E55" i="1" s="1"/>
  <c r="AL54" i="1"/>
  <c r="AF54" i="1"/>
  <c r="AA54" i="1"/>
  <c r="AC54" i="1" s="1"/>
  <c r="AD54" i="1" s="1"/>
  <c r="V54" i="1"/>
  <c r="X54" i="1" s="1"/>
  <c r="Y54" i="1" s="1"/>
  <c r="Q54" i="1"/>
  <c r="S54" i="1" s="1"/>
  <c r="T54" i="1" s="1"/>
  <c r="L54" i="1"/>
  <c r="N54" i="1" s="1"/>
  <c r="O54" i="1" s="1"/>
  <c r="G54" i="1"/>
  <c r="I54" i="1" s="1"/>
  <c r="J54" i="1" s="1"/>
  <c r="B54" i="1"/>
  <c r="AL53" i="1"/>
  <c r="AF53" i="1"/>
  <c r="AA53" i="1"/>
  <c r="AC53" i="1" s="1"/>
  <c r="AD53" i="1" s="1"/>
  <c r="V53" i="1"/>
  <c r="X53" i="1" s="1"/>
  <c r="Y53" i="1" s="1"/>
  <c r="Q53" i="1"/>
  <c r="L53" i="1"/>
  <c r="N53" i="1" s="1"/>
  <c r="O53" i="1" s="1"/>
  <c r="G53" i="1"/>
  <c r="I53" i="1" s="1"/>
  <c r="J53" i="1" s="1"/>
  <c r="B53" i="1"/>
  <c r="D53" i="1" s="1"/>
  <c r="E53" i="1" s="1"/>
  <c r="AM50" i="1"/>
  <c r="AN50" i="1" s="1"/>
  <c r="AG50" i="1"/>
  <c r="AH50" i="1" s="1"/>
  <c r="AI50" i="1" s="1"/>
  <c r="AF50" i="1"/>
  <c r="AB50" i="1"/>
  <c r="AA50" i="1"/>
  <c r="AC50" i="1" s="1"/>
  <c r="AD50" i="1" s="1"/>
  <c r="W50" i="1"/>
  <c r="V50" i="1"/>
  <c r="X50" i="1" s="1"/>
  <c r="Y50" i="1" s="1"/>
  <c r="R50" i="1"/>
  <c r="S50" i="1" s="1"/>
  <c r="T50" i="1" s="1"/>
  <c r="Q50" i="1"/>
  <c r="M50" i="1"/>
  <c r="L50" i="1"/>
  <c r="N50" i="1" s="1"/>
  <c r="O50" i="1" s="1"/>
  <c r="H50" i="1"/>
  <c r="G50" i="1"/>
  <c r="I50" i="1" s="1"/>
  <c r="J50" i="1" s="1"/>
  <c r="D50" i="1"/>
  <c r="E50" i="1" s="1"/>
  <c r="C50" i="1"/>
  <c r="B50" i="1"/>
  <c r="AL49" i="1"/>
  <c r="AK49" i="1"/>
  <c r="AM49" i="1" s="1"/>
  <c r="AN49" i="1" s="1"/>
  <c r="AI49" i="1"/>
  <c r="AH49" i="1"/>
  <c r="AC49" i="1"/>
  <c r="AD49" i="1" s="1"/>
  <c r="X49" i="1"/>
  <c r="Y49" i="1" s="1"/>
  <c r="T49" i="1"/>
  <c r="S49" i="1"/>
  <c r="N49" i="1"/>
  <c r="O49" i="1" s="1"/>
  <c r="I49" i="1"/>
  <c r="J49" i="1" s="1"/>
  <c r="E49" i="1"/>
  <c r="D49" i="1"/>
  <c r="AL48" i="1"/>
  <c r="AM48" i="1" s="1"/>
  <c r="AN48" i="1" s="1"/>
  <c r="AK48" i="1"/>
  <c r="AI48" i="1"/>
  <c r="AH48" i="1"/>
  <c r="AC48" i="1"/>
  <c r="AD48" i="1" s="1"/>
  <c r="X48" i="1"/>
  <c r="Y48" i="1" s="1"/>
  <c r="T48" i="1"/>
  <c r="S48" i="1"/>
  <c r="N48" i="1"/>
  <c r="I48" i="1"/>
  <c r="J48" i="1" s="1"/>
  <c r="D48" i="1"/>
  <c r="E48" i="1" s="1"/>
  <c r="AL47" i="1"/>
  <c r="AM47" i="1" s="1"/>
  <c r="AN47" i="1" s="1"/>
  <c r="AK47" i="1"/>
  <c r="AI47" i="1"/>
  <c r="AH47" i="1"/>
  <c r="AC47" i="1"/>
  <c r="AD47" i="1" s="1"/>
  <c r="X47" i="1"/>
  <c r="Y47" i="1" s="1"/>
  <c r="S47" i="1"/>
  <c r="T47" i="1" s="1"/>
  <c r="N47" i="1"/>
  <c r="O47" i="1" s="1"/>
  <c r="J47" i="1"/>
  <c r="I47" i="1"/>
  <c r="E47" i="1"/>
  <c r="D47" i="1"/>
  <c r="AL46" i="1"/>
  <c r="AK46" i="1"/>
  <c r="AM46" i="1" s="1"/>
  <c r="AN46" i="1" s="1"/>
  <c r="AH46" i="1"/>
  <c r="AI46" i="1" s="1"/>
  <c r="AG46" i="1"/>
  <c r="AF46" i="1"/>
  <c r="AB46" i="1"/>
  <c r="AA46" i="1"/>
  <c r="AC46" i="1" s="1"/>
  <c r="AD46" i="1" s="1"/>
  <c r="W46" i="1"/>
  <c r="V46" i="1"/>
  <c r="X46" i="1" s="1"/>
  <c r="Y46" i="1" s="1"/>
  <c r="S46" i="1"/>
  <c r="T46" i="1" s="1"/>
  <c r="R46" i="1"/>
  <c r="Q46" i="1"/>
  <c r="M46" i="1"/>
  <c r="L46" i="1"/>
  <c r="N46" i="1" s="1"/>
  <c r="O46" i="1" s="1"/>
  <c r="H46" i="1"/>
  <c r="G46" i="1"/>
  <c r="D46" i="1"/>
  <c r="E46" i="1" s="1"/>
  <c r="C46" i="1"/>
  <c r="B46" i="1"/>
  <c r="AL45" i="1"/>
  <c r="AK45" i="1"/>
  <c r="AM45" i="1" s="1"/>
  <c r="AN45" i="1" s="1"/>
  <c r="AH45" i="1"/>
  <c r="AI45" i="1" s="1"/>
  <c r="AC45" i="1"/>
  <c r="AD45" i="1" s="1"/>
  <c r="X45" i="1"/>
  <c r="Y45" i="1" s="1"/>
  <c r="S45" i="1"/>
  <c r="T45" i="1" s="1"/>
  <c r="O45" i="1"/>
  <c r="N45" i="1"/>
  <c r="J45" i="1"/>
  <c r="I45" i="1"/>
  <c r="D45" i="1"/>
  <c r="E45" i="1" s="1"/>
  <c r="AL43" i="1"/>
  <c r="AG43" i="1"/>
  <c r="AH43" i="1" s="1"/>
  <c r="AI43" i="1" s="1"/>
  <c r="AF43" i="1"/>
  <c r="AD43" i="1"/>
  <c r="AC43" i="1"/>
  <c r="AB43" i="1"/>
  <c r="AA43" i="1"/>
  <c r="W43" i="1"/>
  <c r="V43" i="1"/>
  <c r="X43" i="1" s="1"/>
  <c r="Y43" i="1" s="1"/>
  <c r="R43" i="1"/>
  <c r="S43" i="1" s="1"/>
  <c r="T43" i="1" s="1"/>
  <c r="Q43" i="1"/>
  <c r="O43" i="1"/>
  <c r="N43" i="1"/>
  <c r="M43" i="1"/>
  <c r="L43" i="1"/>
  <c r="H43" i="1"/>
  <c r="I43" i="1" s="1"/>
  <c r="J43" i="1" s="1"/>
  <c r="G43" i="1"/>
  <c r="C43" i="1"/>
  <c r="D43" i="1" s="1"/>
  <c r="E43" i="1" s="1"/>
  <c r="B43" i="1"/>
  <c r="AN42" i="1"/>
  <c r="AM42" i="1"/>
  <c r="AL42" i="1"/>
  <c r="AK42" i="1"/>
  <c r="AH42" i="1"/>
  <c r="AI42" i="1" s="1"/>
  <c r="AD42" i="1"/>
  <c r="AC42" i="1"/>
  <c r="X42" i="1"/>
  <c r="Y42" i="1" s="1"/>
  <c r="T42" i="1"/>
  <c r="S42" i="1"/>
  <c r="O42" i="1"/>
  <c r="N42" i="1"/>
  <c r="I42" i="1"/>
  <c r="J42" i="1" s="1"/>
  <c r="D42" i="1"/>
  <c r="E42" i="1" s="1"/>
  <c r="AM40" i="1"/>
  <c r="AN40" i="1" s="1"/>
  <c r="AL40" i="1"/>
  <c r="AK40" i="1"/>
  <c r="AI40" i="1"/>
  <c r="AH40" i="1"/>
  <c r="AD40" i="1"/>
  <c r="AC40" i="1"/>
  <c r="X40" i="1"/>
  <c r="Y40" i="1" s="1"/>
  <c r="S40" i="1"/>
  <c r="T40" i="1" s="1"/>
  <c r="O40" i="1"/>
  <c r="N40" i="1"/>
  <c r="I40" i="1"/>
  <c r="J40" i="1" s="1"/>
  <c r="E40" i="1"/>
  <c r="D40" i="1"/>
  <c r="AN39" i="1"/>
  <c r="AL39" i="1"/>
  <c r="AK39" i="1"/>
  <c r="AM39" i="1" s="1"/>
  <c r="AH39" i="1"/>
  <c r="AC39" i="1"/>
  <c r="X39" i="1"/>
  <c r="S39" i="1"/>
  <c r="N39" i="1"/>
  <c r="O39" i="1" s="1"/>
  <c r="J39" i="1"/>
  <c r="I39" i="1"/>
  <c r="D39" i="1"/>
  <c r="AL38" i="1"/>
  <c r="AK38" i="1"/>
  <c r="AM38" i="1" s="1"/>
  <c r="AN38" i="1" s="1"/>
  <c r="AH38" i="1"/>
  <c r="AI38" i="1" s="1"/>
  <c r="AD38" i="1"/>
  <c r="AC38" i="1"/>
  <c r="X38" i="1"/>
  <c r="Y38" i="1" s="1"/>
  <c r="S38" i="1"/>
  <c r="T38" i="1" s="1"/>
  <c r="N38" i="1"/>
  <c r="O38" i="1" s="1"/>
  <c r="I38" i="1"/>
  <c r="J38" i="1" s="1"/>
  <c r="D38" i="1"/>
  <c r="E38" i="1" s="1"/>
  <c r="Y33" i="1"/>
  <c r="AL31" i="1"/>
  <c r="AK31" i="1"/>
  <c r="AM31" i="1" s="1"/>
  <c r="AN31" i="1" s="1"/>
  <c r="AH31" i="1"/>
  <c r="AI31" i="1" s="1"/>
  <c r="AD31" i="1"/>
  <c r="AC31" i="1"/>
  <c r="X31" i="1"/>
  <c r="Y31" i="1" s="1"/>
  <c r="S31" i="1"/>
  <c r="T31" i="1" s="1"/>
  <c r="N31" i="1"/>
  <c r="I31" i="1"/>
  <c r="J31" i="1" s="1"/>
  <c r="R30" i="1"/>
  <c r="AN28" i="1"/>
  <c r="AL28" i="1"/>
  <c r="AK28" i="1"/>
  <c r="AM28" i="1" s="1"/>
  <c r="AI28" i="1"/>
  <c r="AH28" i="1"/>
  <c r="AC28" i="1"/>
  <c r="AD28" i="1" s="1"/>
  <c r="X28" i="1"/>
  <c r="Y28" i="1" s="1"/>
  <c r="T28" i="1"/>
  <c r="S28" i="1"/>
  <c r="O28" i="1"/>
  <c r="N28" i="1"/>
  <c r="I28" i="1"/>
  <c r="J28" i="1" s="1"/>
  <c r="D28" i="1"/>
  <c r="E28" i="1" s="1"/>
  <c r="AM27" i="1"/>
  <c r="AN27" i="1" s="1"/>
  <c r="AL27" i="1"/>
  <c r="AK27" i="1"/>
  <c r="AI27" i="1"/>
  <c r="AH27" i="1"/>
  <c r="AD27" i="1"/>
  <c r="AC27" i="1"/>
  <c r="X27" i="1"/>
  <c r="Y27" i="1" s="1"/>
  <c r="T27" i="1"/>
  <c r="S27" i="1"/>
  <c r="N27" i="1"/>
  <c r="O27" i="1" s="1"/>
  <c r="I27" i="1"/>
  <c r="J27" i="1" s="1"/>
  <c r="E27" i="1"/>
  <c r="D27" i="1"/>
  <c r="AG26" i="1"/>
  <c r="AG29" i="1" s="1"/>
  <c r="R26" i="1"/>
  <c r="R29" i="1" s="1"/>
  <c r="R32" i="1" s="1"/>
  <c r="R34" i="1" s="1"/>
  <c r="AG25" i="1"/>
  <c r="V25" i="1"/>
  <c r="C25" i="1"/>
  <c r="AL24" i="1"/>
  <c r="AK24" i="1"/>
  <c r="AM24" i="1" s="1"/>
  <c r="AN24" i="1" s="1"/>
  <c r="AI24" i="1"/>
  <c r="AH24" i="1"/>
  <c r="AC24" i="1"/>
  <c r="AD24" i="1" s="1"/>
  <c r="X24" i="1"/>
  <c r="Y24" i="1" s="1"/>
  <c r="S24" i="1"/>
  <c r="T24" i="1" s="1"/>
  <c r="N24" i="1"/>
  <c r="O24" i="1" s="1"/>
  <c r="J24" i="1"/>
  <c r="I24" i="1"/>
  <c r="E24" i="1"/>
  <c r="D24" i="1"/>
  <c r="AG23" i="1"/>
  <c r="C23" i="1"/>
  <c r="AL22" i="1"/>
  <c r="AK22" i="1"/>
  <c r="AI22" i="1"/>
  <c r="AH22" i="1"/>
  <c r="AC22" i="1"/>
  <c r="AD22" i="1" s="1"/>
  <c r="Y22" i="1"/>
  <c r="X22" i="1"/>
  <c r="T22" i="1"/>
  <c r="S22" i="1"/>
  <c r="N22" i="1"/>
  <c r="O22" i="1" s="1"/>
  <c r="I22" i="1"/>
  <c r="J22" i="1" s="1"/>
  <c r="D22" i="1"/>
  <c r="E22" i="1" s="1"/>
  <c r="AC21" i="1"/>
  <c r="AD21" i="1" s="1"/>
  <c r="AB21" i="1"/>
  <c r="AA21" i="1"/>
  <c r="M21" i="1"/>
  <c r="M26" i="1" s="1"/>
  <c r="M29" i="1" s="1"/>
  <c r="L21" i="1"/>
  <c r="AL20" i="1"/>
  <c r="AK20" i="1"/>
  <c r="AM20" i="1" s="1"/>
  <c r="AN20" i="1" s="1"/>
  <c r="AH20" i="1"/>
  <c r="AI20" i="1" s="1"/>
  <c r="AD20" i="1"/>
  <c r="AC20" i="1"/>
  <c r="Y20" i="1"/>
  <c r="X20" i="1"/>
  <c r="S20" i="1"/>
  <c r="T20" i="1" s="1"/>
  <c r="O20" i="1"/>
  <c r="N20" i="1"/>
  <c r="I20" i="1"/>
  <c r="J20" i="1" s="1"/>
  <c r="D20" i="1"/>
  <c r="E20" i="1" s="1"/>
  <c r="AG19" i="1"/>
  <c r="AG21" i="1" s="1"/>
  <c r="AF19" i="1"/>
  <c r="AC19" i="1"/>
  <c r="AD19" i="1" s="1"/>
  <c r="AB19" i="1"/>
  <c r="AA19" i="1"/>
  <c r="W19" i="1"/>
  <c r="W21" i="1" s="1"/>
  <c r="W26" i="1" s="1"/>
  <c r="W29" i="1" s="1"/>
  <c r="V19" i="1"/>
  <c r="V21" i="1" s="1"/>
  <c r="R19" i="1"/>
  <c r="R21" i="1" s="1"/>
  <c r="Q19" i="1"/>
  <c r="N19" i="1"/>
  <c r="O19" i="1" s="1"/>
  <c r="M19" i="1"/>
  <c r="L19" i="1"/>
  <c r="H19" i="1"/>
  <c r="H21" i="1" s="1"/>
  <c r="G19" i="1"/>
  <c r="G21" i="1" s="1"/>
  <c r="C19" i="1"/>
  <c r="C21" i="1" s="1"/>
  <c r="C26" i="1" s="1"/>
  <c r="C29" i="1" s="1"/>
  <c r="B19" i="1"/>
  <c r="AN18" i="1"/>
  <c r="AM18" i="1"/>
  <c r="AL18" i="1"/>
  <c r="AK18" i="1"/>
  <c r="AI18" i="1"/>
  <c r="AH18" i="1"/>
  <c r="AD18" i="1"/>
  <c r="AC18" i="1"/>
  <c r="X18" i="1"/>
  <c r="Y18" i="1" s="1"/>
  <c r="S18" i="1"/>
  <c r="T18" i="1" s="1"/>
  <c r="N18" i="1"/>
  <c r="O18" i="1" s="1"/>
  <c r="I18" i="1"/>
  <c r="J18" i="1" s="1"/>
  <c r="D18" i="1"/>
  <c r="AM17" i="1"/>
  <c r="AN17" i="1" s="1"/>
  <c r="AL17" i="1"/>
  <c r="AK17" i="1"/>
  <c r="AH17" i="1"/>
  <c r="AC17" i="1"/>
  <c r="AD17" i="1" s="1"/>
  <c r="X17" i="1"/>
  <c r="Y17" i="1" s="1"/>
  <c r="S17" i="1"/>
  <c r="T17" i="1" s="1"/>
  <c r="O17" i="1"/>
  <c r="N17" i="1"/>
  <c r="J17" i="1"/>
  <c r="I17" i="1"/>
  <c r="D17" i="1"/>
  <c r="AM16" i="1"/>
  <c r="AN16" i="1" s="1"/>
  <c r="AL16" i="1"/>
  <c r="AK16" i="1"/>
  <c r="AI16" i="1"/>
  <c r="AH16" i="1"/>
  <c r="AC16" i="1"/>
  <c r="AD16" i="1" s="1"/>
  <c r="X16" i="1"/>
  <c r="Y16" i="1" s="1"/>
  <c r="T16" i="1"/>
  <c r="S16" i="1"/>
  <c r="N16" i="1"/>
  <c r="O16" i="1" s="1"/>
  <c r="J16" i="1"/>
  <c r="I16" i="1"/>
  <c r="E16" i="1"/>
  <c r="D16" i="1"/>
  <c r="AL15" i="1"/>
  <c r="AK15" i="1"/>
  <c r="AM15" i="1" s="1"/>
  <c r="AN15" i="1" s="1"/>
  <c r="AI15" i="1"/>
  <c r="AH15" i="1"/>
  <c r="AC15" i="1"/>
  <c r="AD15" i="1" s="1"/>
  <c r="Y15" i="1"/>
  <c r="X15" i="1"/>
  <c r="T15" i="1"/>
  <c r="S15" i="1"/>
  <c r="N15" i="1"/>
  <c r="O15" i="1" s="1"/>
  <c r="I15" i="1"/>
  <c r="J15" i="1" s="1"/>
  <c r="E15" i="1"/>
  <c r="D15" i="1"/>
  <c r="AL14" i="1"/>
  <c r="AL19" i="1" s="1"/>
  <c r="AL21" i="1" s="1"/>
  <c r="AL26" i="1" s="1"/>
  <c r="AL29" i="1" s="1"/>
  <c r="AK14" i="1"/>
  <c r="AM14" i="1" s="1"/>
  <c r="AN14" i="1" s="1"/>
  <c r="AI14" i="1"/>
  <c r="AH14" i="1"/>
  <c r="AC14" i="1"/>
  <c r="AD14" i="1" s="1"/>
  <c r="X14" i="1"/>
  <c r="Y14" i="1" s="1"/>
  <c r="T14" i="1"/>
  <c r="S14" i="1"/>
  <c r="N14" i="1"/>
  <c r="O14" i="1" s="1"/>
  <c r="I14" i="1"/>
  <c r="J14" i="1" s="1"/>
  <c r="E14" i="1"/>
  <c r="D14" i="1"/>
  <c r="AL13" i="1"/>
  <c r="AK13" i="1"/>
  <c r="AI13" i="1"/>
  <c r="AH13" i="1"/>
  <c r="AC13" i="1"/>
  <c r="AD13" i="1" s="1"/>
  <c r="Y13" i="1"/>
  <c r="X13" i="1"/>
  <c r="T13" i="1"/>
  <c r="S13" i="1"/>
  <c r="N13" i="1"/>
  <c r="O13" i="1" s="1"/>
  <c r="I13" i="1"/>
  <c r="J13" i="1" s="1"/>
  <c r="E13" i="1"/>
  <c r="D13" i="1"/>
  <c r="A3" i="1"/>
  <c r="A2" i="1"/>
  <c r="X65" i="1" l="1"/>
  <c r="Y65" i="1" s="1"/>
  <c r="AG58" i="1"/>
  <c r="AC61" i="1"/>
  <c r="AD61" i="1" s="1"/>
  <c r="AK53" i="1"/>
  <c r="AM53" i="1" s="1"/>
  <c r="AN53" i="1" s="1"/>
  <c r="AK54" i="1"/>
  <c r="AM54" i="1" s="1"/>
  <c r="AN54" i="1" s="1"/>
  <c r="AK56" i="1"/>
  <c r="AM56" i="1" s="1"/>
  <c r="AN56" i="1" s="1"/>
  <c r="C32" i="1"/>
  <c r="C30" i="1"/>
  <c r="AL30" i="1"/>
  <c r="AL32" i="1"/>
  <c r="AL33" i="1" s="1"/>
  <c r="W30" i="1"/>
  <c r="W32" i="1"/>
  <c r="B21" i="1"/>
  <c r="D19" i="1"/>
  <c r="M66" i="1"/>
  <c r="N66" i="1" s="1"/>
  <c r="O66" i="1" s="1"/>
  <c r="AK43" i="1"/>
  <c r="AM43" i="1" s="1"/>
  <c r="AN43" i="1" s="1"/>
  <c r="S53" i="1"/>
  <c r="T53" i="1" s="1"/>
  <c r="AF21" i="1"/>
  <c r="AH19" i="1"/>
  <c r="AI19" i="1" s="1"/>
  <c r="AA23" i="1"/>
  <c r="AA26" i="1"/>
  <c r="W23" i="1"/>
  <c r="R64" i="1"/>
  <c r="T64" i="1" s="1"/>
  <c r="S61" i="1"/>
  <c r="T61" i="1" s="1"/>
  <c r="R66" i="1"/>
  <c r="S66" i="1" s="1"/>
  <c r="T66" i="1" s="1"/>
  <c r="AG71" i="1"/>
  <c r="AH71" i="1" s="1"/>
  <c r="AI71" i="1" s="1"/>
  <c r="AL70" i="1"/>
  <c r="AM70" i="1" s="1"/>
  <c r="AN70" i="1" s="1"/>
  <c r="G23" i="1"/>
  <c r="I21" i="1"/>
  <c r="J21" i="1" s="1"/>
  <c r="G26" i="1"/>
  <c r="AB23" i="1"/>
  <c r="AB26" i="1"/>
  <c r="AB29" i="1" s="1"/>
  <c r="AB25" i="1"/>
  <c r="W25" i="1"/>
  <c r="Y25" i="1" s="1"/>
  <c r="R58" i="1"/>
  <c r="AG66" i="1"/>
  <c r="AH66" i="1" s="1"/>
  <c r="AI66" i="1" s="1"/>
  <c r="AG64" i="1"/>
  <c r="AI64" i="1" s="1"/>
  <c r="AC62" i="1"/>
  <c r="AD62" i="1" s="1"/>
  <c r="AB64" i="1"/>
  <c r="AD64" i="1" s="1"/>
  <c r="AL69" i="1"/>
  <c r="AL71" i="1" s="1"/>
  <c r="AM71" i="1" s="1"/>
  <c r="AN71" i="1" s="1"/>
  <c r="C71" i="1"/>
  <c r="C72" i="1"/>
  <c r="D72" i="1" s="1"/>
  <c r="E72" i="1" s="1"/>
  <c r="AH70" i="1"/>
  <c r="AI70" i="1" s="1"/>
  <c r="M30" i="1"/>
  <c r="M32" i="1"/>
  <c r="I63" i="1"/>
  <c r="J63" i="1" s="1"/>
  <c r="H23" i="1"/>
  <c r="H26" i="1"/>
  <c r="H29" i="1" s="1"/>
  <c r="H25" i="1"/>
  <c r="M25" i="1"/>
  <c r="AB66" i="1"/>
  <c r="AC66" i="1" s="1"/>
  <c r="AD66" i="1" s="1"/>
  <c r="AM69" i="1"/>
  <c r="AN69" i="1" s="1"/>
  <c r="AA25" i="1"/>
  <c r="AH65" i="1"/>
  <c r="AI65" i="1" s="1"/>
  <c r="D71" i="1"/>
  <c r="E71" i="1" s="1"/>
  <c r="M23" i="1"/>
  <c r="L26" i="1"/>
  <c r="L25" i="1"/>
  <c r="L23" i="1"/>
  <c r="O23" i="1" s="1"/>
  <c r="Q21" i="1"/>
  <c r="S19" i="1"/>
  <c r="T19" i="1" s="1"/>
  <c r="AL62" i="1"/>
  <c r="AL65" i="1" s="1"/>
  <c r="AM13" i="1"/>
  <c r="AN13" i="1" s="1"/>
  <c r="AK19" i="1"/>
  <c r="D73" i="1"/>
  <c r="E73" i="1" s="1"/>
  <c r="N21" i="1"/>
  <c r="O21" i="1" s="1"/>
  <c r="G25" i="1"/>
  <c r="AG30" i="1"/>
  <c r="AG32" i="1"/>
  <c r="AM62" i="1"/>
  <c r="AN62" i="1" s="1"/>
  <c r="R25" i="1"/>
  <c r="R23" i="1"/>
  <c r="AK66" i="1"/>
  <c r="AM22" i="1"/>
  <c r="AN22" i="1" s="1"/>
  <c r="X21" i="1"/>
  <c r="Y21" i="1" s="1"/>
  <c r="V23" i="1"/>
  <c r="V26" i="1"/>
  <c r="AL23" i="1"/>
  <c r="AL25" i="1"/>
  <c r="R33" i="1"/>
  <c r="I46" i="1"/>
  <c r="J46" i="1" s="1"/>
  <c r="C64" i="1"/>
  <c r="E64" i="1" s="1"/>
  <c r="D61" i="1"/>
  <c r="E61" i="1" s="1"/>
  <c r="C58" i="1"/>
  <c r="C66" i="1"/>
  <c r="D66" i="1" s="1"/>
  <c r="E66" i="1" s="1"/>
  <c r="I62" i="1"/>
  <c r="J62" i="1" s="1"/>
  <c r="H65" i="1"/>
  <c r="I65" i="1" s="1"/>
  <c r="J65" i="1" s="1"/>
  <c r="O68" i="1"/>
  <c r="AM73" i="1"/>
  <c r="AN73" i="1" s="1"/>
  <c r="AK57" i="1"/>
  <c r="AM57" i="1" s="1"/>
  <c r="AN57" i="1" s="1"/>
  <c r="N62" i="1"/>
  <c r="O62" i="1" s="1"/>
  <c r="AH62" i="1"/>
  <c r="AI62" i="1" s="1"/>
  <c r="AC69" i="1"/>
  <c r="AD69" i="1" s="1"/>
  <c r="D54" i="1"/>
  <c r="E54" i="1" s="1"/>
  <c r="AH63" i="1"/>
  <c r="M71" i="1"/>
  <c r="N71" i="1" s="1"/>
  <c r="O71" i="1" s="1"/>
  <c r="R72" i="1"/>
  <c r="S72" i="1" s="1"/>
  <c r="T72" i="1" s="1"/>
  <c r="AK63" i="1"/>
  <c r="AM63" i="1" s="1"/>
  <c r="AN63" i="1" s="1"/>
  <c r="I19" i="1"/>
  <c r="J19" i="1" s="1"/>
  <c r="X19" i="1"/>
  <c r="Y19" i="1" s="1"/>
  <c r="S63" i="1"/>
  <c r="T63" i="1" s="1"/>
  <c r="AK72" i="1"/>
  <c r="W64" i="1"/>
  <c r="Y64" i="1" s="1"/>
  <c r="C65" i="1"/>
  <c r="D65" i="1" s="1"/>
  <c r="E65" i="1" s="1"/>
  <c r="AL72" i="1"/>
  <c r="J68" i="1"/>
  <c r="H58" i="1" l="1"/>
  <c r="H66" i="1"/>
  <c r="I66" i="1" s="1"/>
  <c r="J66" i="1" s="1"/>
  <c r="I61" i="1"/>
  <c r="J61" i="1" s="1"/>
  <c r="D21" i="1"/>
  <c r="E21" i="1" s="1"/>
  <c r="E19" i="1"/>
  <c r="B23" i="1"/>
  <c r="E23" i="1" s="1"/>
  <c r="B26" i="1"/>
  <c r="B25" i="1"/>
  <c r="E25" i="1" s="1"/>
  <c r="AM72" i="1"/>
  <c r="AN72" i="1" s="1"/>
  <c r="J25" i="1"/>
  <c r="M33" i="1"/>
  <c r="M34" i="1"/>
  <c r="AC26" i="1"/>
  <c r="AD26" i="1" s="1"/>
  <c r="AA29" i="1"/>
  <c r="O25" i="1"/>
  <c r="X26" i="1"/>
  <c r="Y26" i="1" s="1"/>
  <c r="V29" i="1"/>
  <c r="AB30" i="1"/>
  <c r="AB32" i="1"/>
  <c r="AD23" i="1"/>
  <c r="Y23" i="1"/>
  <c r="AK21" i="1"/>
  <c r="AM19" i="1"/>
  <c r="AN19" i="1" s="1"/>
  <c r="AG33" i="1"/>
  <c r="AG34" i="1"/>
  <c r="AK64" i="1"/>
  <c r="I26" i="1"/>
  <c r="J26" i="1" s="1"/>
  <c r="G29" i="1"/>
  <c r="AF25" i="1"/>
  <c r="AI25" i="1" s="1"/>
  <c r="AH21" i="1"/>
  <c r="AI21" i="1" s="1"/>
  <c r="AF26" i="1"/>
  <c r="AF23" i="1"/>
  <c r="AI23" i="1" s="1"/>
  <c r="AK65" i="1"/>
  <c r="AM65" i="1" s="1"/>
  <c r="AN65" i="1" s="1"/>
  <c r="N26" i="1"/>
  <c r="O26" i="1" s="1"/>
  <c r="L29" i="1"/>
  <c r="AL61" i="1"/>
  <c r="AD25" i="1"/>
  <c r="H30" i="1"/>
  <c r="H32" i="1"/>
  <c r="J23" i="1"/>
  <c r="Q25" i="1"/>
  <c r="T25" i="1" s="1"/>
  <c r="S21" i="1"/>
  <c r="T21" i="1" s="1"/>
  <c r="Q26" i="1"/>
  <c r="Q23" i="1"/>
  <c r="T23" i="1" s="1"/>
  <c r="C33" i="1"/>
  <c r="C34" i="1"/>
  <c r="L30" i="1" l="1"/>
  <c r="O30" i="1" s="1"/>
  <c r="N29" i="1"/>
  <c r="O29" i="1" s="1"/>
  <c r="L32" i="1"/>
  <c r="Q29" i="1"/>
  <c r="S26" i="1"/>
  <c r="T26" i="1" s="1"/>
  <c r="AF29" i="1"/>
  <c r="AH26" i="1"/>
  <c r="AI26" i="1" s="1"/>
  <c r="AB34" i="1"/>
  <c r="AB33" i="1"/>
  <c r="B29" i="1"/>
  <c r="D26" i="1"/>
  <c r="E26" i="1" s="1"/>
  <c r="G32" i="1"/>
  <c r="G30" i="1"/>
  <c r="J30" i="1" s="1"/>
  <c r="I29" i="1"/>
  <c r="J29" i="1" s="1"/>
  <c r="V32" i="1"/>
  <c r="X32" i="1" s="1"/>
  <c r="Y32" i="1" s="1"/>
  <c r="V30" i="1"/>
  <c r="Y30" i="1" s="1"/>
  <c r="X29" i="1"/>
  <c r="Y29" i="1" s="1"/>
  <c r="H34" i="1"/>
  <c r="H33" i="1"/>
  <c r="AC29" i="1"/>
  <c r="AD29" i="1" s="1"/>
  <c r="AA32" i="1"/>
  <c r="AA30" i="1"/>
  <c r="AD30" i="1" s="1"/>
  <c r="AM61" i="1"/>
  <c r="AN61" i="1" s="1"/>
  <c r="AL64" i="1"/>
  <c r="AN64" i="1" s="1"/>
  <c r="AL66" i="1"/>
  <c r="AM66" i="1" s="1"/>
  <c r="AN66" i="1" s="1"/>
  <c r="AM21" i="1"/>
  <c r="AN21" i="1" s="1"/>
  <c r="AK25" i="1"/>
  <c r="AN25" i="1" s="1"/>
  <c r="AK26" i="1"/>
  <c r="AK23" i="1"/>
  <c r="AN23" i="1" s="1"/>
  <c r="G33" i="1" l="1"/>
  <c r="J33" i="1" s="1"/>
  <c r="I32" i="1"/>
  <c r="J32" i="1" s="1"/>
  <c r="G34" i="1"/>
  <c r="D29" i="1"/>
  <c r="E29" i="1" s="1"/>
  <c r="B30" i="1"/>
  <c r="E30" i="1" s="1"/>
  <c r="B32" i="1"/>
  <c r="AM26" i="1"/>
  <c r="AN26" i="1" s="1"/>
  <c r="AK29" i="1"/>
  <c r="S29" i="1"/>
  <c r="T29" i="1" s="1"/>
  <c r="Q32" i="1"/>
  <c r="Q30" i="1"/>
  <c r="T30" i="1" s="1"/>
  <c r="AA34" i="1"/>
  <c r="AC32" i="1"/>
  <c r="AD32" i="1" s="1"/>
  <c r="AA33" i="1"/>
  <c r="AD33" i="1" s="1"/>
  <c r="L33" i="1"/>
  <c r="O33" i="1" s="1"/>
  <c r="L34" i="1"/>
  <c r="N32" i="1"/>
  <c r="O32" i="1" s="1"/>
  <c r="AF30" i="1"/>
  <c r="AI30" i="1" s="1"/>
  <c r="AH29" i="1"/>
  <c r="AI29" i="1" s="1"/>
  <c r="AF32" i="1"/>
  <c r="AF34" i="1" l="1"/>
  <c r="AH32" i="1"/>
  <c r="AI32" i="1" s="1"/>
  <c r="AF33" i="1"/>
  <c r="AI33" i="1" s="1"/>
  <c r="AK32" i="1"/>
  <c r="AM29" i="1"/>
  <c r="AN29" i="1" s="1"/>
  <c r="AK30" i="1"/>
  <c r="AN30" i="1" s="1"/>
  <c r="S32" i="1"/>
  <c r="T32" i="1" s="1"/>
  <c r="Q33" i="1"/>
  <c r="T33" i="1" s="1"/>
  <c r="Q34" i="1"/>
  <c r="D32" i="1"/>
  <c r="E32" i="1" s="1"/>
  <c r="B34" i="1"/>
  <c r="B33" i="1"/>
  <c r="E33" i="1" s="1"/>
  <c r="AK33" i="1" l="1"/>
  <c r="AN33" i="1" s="1"/>
  <c r="AM32" i="1"/>
  <c r="AN32" i="1" s="1"/>
</calcChain>
</file>

<file path=xl/sharedStrings.xml><?xml version="1.0" encoding="utf-8"?>
<sst xmlns="http://schemas.openxmlformats.org/spreadsheetml/2006/main" count="135" uniqueCount="79">
  <si>
    <t>REGION II</t>
  </si>
  <si>
    <t>(In Thousand)</t>
  </si>
  <si>
    <t xml:space="preserve">       B A T A N E L C O</t>
  </si>
  <si>
    <t xml:space="preserve">       C A G E L C O  I</t>
  </si>
  <si>
    <t xml:space="preserve">       C A G E L C O     I  I </t>
  </si>
  <si>
    <t xml:space="preserve">      I S E L C O     I</t>
  </si>
  <si>
    <t xml:space="preserve">      I S E L C O     I   I</t>
  </si>
  <si>
    <t>N U V E L C O</t>
  </si>
  <si>
    <t xml:space="preserve">        Q U I R E L C O</t>
  </si>
  <si>
    <t xml:space="preserve">       T O T A L</t>
  </si>
  <si>
    <t>BATANELCO</t>
  </si>
  <si>
    <t>CAGELCO I</t>
  </si>
  <si>
    <t>CAGELCO II</t>
  </si>
  <si>
    <t>ISELCO I</t>
  </si>
  <si>
    <t>NUVELCO</t>
  </si>
  <si>
    <t>QUIRELCO</t>
  </si>
  <si>
    <t>Inc. / (Dec.)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</si>
  <si>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</si>
  <si>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</si>
  <si>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</si>
  <si>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</si>
  <si>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</si>
  <si>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</si>
  <si>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</si>
  <si>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</si>
  <si>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</si>
  <si>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</si>
  <si>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</si>
  <si>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</si>
  <si>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</si>
  <si>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</si>
  <si>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</si>
  <si>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</si>
  <si>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</si>
  <si>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</si>
  <si>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</si>
  <si>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</si>
  <si>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</si>
  <si>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</si>
  <si>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</si>
  <si>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</si>
  <si>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</si>
  <si>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</si>
  <si>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</si>
  <si>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</si>
  <si>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</si>
  <si>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</si>
  <si>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</si>
  <si>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</si>
  <si>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</si>
  <si>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</si>
  <si>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</si>
  <si>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</si>
  <si>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</si>
  <si>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</si>
  <si>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</si>
  <si>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</si>
  <si>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</si>
  <si>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</si>
  <si>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</si>
  <si>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</si>
  <si>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</si>
  <si>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</si>
  <si>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</si>
  <si>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</si>
  <si>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</si>
  <si>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</si>
  <si>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</si>
  <si>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</si>
  <si>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</si>
  <si>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</si>
  <si>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</si>
  <si>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</si>
  <si>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Small</t>
  </si>
  <si>
    <t>AAA - Mega Large</t>
  </si>
  <si>
    <t>AA - Mega Large</t>
  </si>
  <si>
    <t>AAA - Extra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</si>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</sst>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i/>
      <sz val="12"/>
      <color theme="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43" fontId="2" fillId="0" borderId="0" xfId="1" applyNumberFormat="1" applyFont="1" applyFill="1"/>
    <xf numFmtId="164" fontId="2" fillId="0" borderId="0" xfId="1" applyNumberFormat="1" applyFont="1" applyFill="1" applyAlignment="1">
      <alignment horizontal="left"/>
    </xf>
    <xf numFmtId="43" fontId="2" fillId="0" borderId="0" xfId="1" applyFont="1" applyFill="1"/>
    <xf numFmtId="43" fontId="2" fillId="0" borderId="0" xfId="1" applyFont="1" applyFill="1" applyAlignment="1">
      <alignment horizontal="left"/>
    </xf>
    <xf numFmtId="43" fontId="1" fillId="0" borderId="0" xfId="1" applyFont="1" applyFill="1" applyAlignment="1">
      <alignment horizontal="left"/>
    </xf>
    <xf numFmtId="43" fontId="5" fillId="0" borderId="0" xfId="1" applyFont="1" applyFill="1"/>
    <xf numFmtId="43" fontId="8" fillId="0" borderId="0" xfId="1" applyFont="1" applyFill="1"/>
    <xf numFmtId="43" fontId="3" fillId="0" borderId="0" xfId="1" applyFont="1" applyFill="1"/>
    <xf numFmtId="164" fontId="9" fillId="0" borderId="0" xfId="1" applyNumberFormat="1" applyFont="1" applyFill="1"/>
    <xf numFmtId="43" fontId="2" fillId="0" borderId="0" xfId="1" applyFont="1" applyFill="1" applyAlignment="1">
      <alignment horizontal="center"/>
    </xf>
    <xf numFmtId="43" fontId="2" fillId="0" borderId="0" xfId="0" applyNumberFormat="1" applyFont="1"/>
    <xf numFmtId="164" fontId="5" fillId="0" borderId="0" xfId="1" applyNumberFormat="1" applyFont="1" applyFill="1"/>
    <xf numFmtId="164" fontId="8" fillId="0" borderId="0" xfId="1" applyNumberFormat="1" applyFont="1" applyFill="1"/>
    <xf numFmtId="164" fontId="3" fillId="0" borderId="0" xfId="1" applyNumberFormat="1" applyFont="1" applyFill="1"/>
    <xf numFmtId="164" fontId="2" fillId="0" borderId="0" xfId="0" applyNumberFormat="1" applyFont="1"/>
    <xf numFmtId="43" fontId="2" fillId="0" borderId="0" xfId="1" applyNumberFormat="1" applyFont="1" applyFill="1" applyAlignment="1">
      <alignment horizontal="right"/>
    </xf>
    <xf numFmtId="43" fontId="9" fillId="0" borderId="0" xfId="1" applyNumberFormat="1" applyFont="1" applyFill="1" applyAlignment="1">
      <alignment horizontal="right"/>
    </xf>
    <xf numFmtId="43" fontId="2" fillId="0" borderId="0" xfId="1" applyNumberFormat="1" applyFont="1" applyFill="1" applyAlignment="1">
      <alignment horizontal="left"/>
    </xf>
    <xf numFmtId="43" fontId="9" fillId="0" borderId="0" xfId="1" applyNumberFormat="1" applyFont="1" applyFill="1"/>
    <xf numFmtId="164" fontId="7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2">
    <cellStyle name="Comma 1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sagunjgd\Desktop\Consolidated%20Financial%20Profile%20as%20of%20June%2030,%202023_juve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ownloads\Power%20Market%20YT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esktop\aa\USB%20Drive\000_JUVEE's%20FILE%20(desktop)\COLLECTION%20EFFICIENCY\2022\02_June%202022%20COLL%20EFF%20final_juve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ownloads\Financial%20and%20Statist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7">
        <row r="2">
          <cell r="A2" t="str">
            <v>Financial Profile as of June 30, 2023</v>
          </cell>
        </row>
      </sheetData>
      <sheetData sheetId="8" refreshError="1"/>
      <sheetData sheetId="9" refreshError="1"/>
      <sheetData sheetId="10">
        <row r="2">
          <cell r="A2" t="str">
            <v>Financial Profile as of June 30, 2023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Financial Profile as of June 30, 2023</v>
          </cell>
        </row>
      </sheetData>
      <sheetData sheetId="17">
        <row r="2">
          <cell r="A2" t="str">
            <v>Financial Profile as of June 30, 2023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26">
          <cell r="D26">
            <v>31147.325239999998</v>
          </cell>
          <cell r="E26">
            <v>31147.325219999999</v>
          </cell>
          <cell r="F26">
            <v>1.9999999494757503E-5</v>
          </cell>
          <cell r="I26">
            <v>2.5033575651789842E-8</v>
          </cell>
          <cell r="K26">
            <v>22853.437020000001</v>
          </cell>
        </row>
        <row r="27">
          <cell r="D27">
            <v>359472.89047000004</v>
          </cell>
          <cell r="E27">
            <v>377378.15229</v>
          </cell>
          <cell r="F27">
            <v>-17905.261819999956</v>
          </cell>
          <cell r="I27">
            <v>-6.0154756624569448</v>
          </cell>
          <cell r="K27">
            <v>34402.974560000002</v>
          </cell>
        </row>
        <row r="28">
          <cell r="D28">
            <v>433628.30539999995</v>
          </cell>
          <cell r="E28">
            <v>454749.88338999997</v>
          </cell>
          <cell r="F28">
            <v>-21121.57799000002</v>
          </cell>
          <cell r="I28">
            <v>-2.0615013509047597</v>
          </cell>
          <cell r="K28">
            <v>230664.59315</v>
          </cell>
        </row>
        <row r="29">
          <cell r="D29">
            <v>309811.96066000004</v>
          </cell>
          <cell r="E29">
            <v>309973.29016999999</v>
          </cell>
          <cell r="F29">
            <v>-161.32950999995228</v>
          </cell>
          <cell r="I29">
            <v>-4.3210499221644119E-2</v>
          </cell>
          <cell r="K29">
            <v>60510.815369999997</v>
          </cell>
        </row>
        <row r="30">
          <cell r="D30">
            <v>77542.302510000009</v>
          </cell>
          <cell r="E30">
            <v>78695.405020000006</v>
          </cell>
          <cell r="F30">
            <v>-1153.102509999997</v>
          </cell>
          <cell r="I30">
            <v>0</v>
          </cell>
          <cell r="K30">
            <v>23773.7883</v>
          </cell>
        </row>
        <row r="31">
          <cell r="D31">
            <v>42435.988440000001</v>
          </cell>
          <cell r="E31">
            <v>42435.988760000051</v>
          </cell>
          <cell r="F31">
            <v>-3.2000005012378097E-4</v>
          </cell>
          <cell r="I31">
            <v>0</v>
          </cell>
          <cell r="K31">
            <v>-5.9999999999999995E-5</v>
          </cell>
        </row>
        <row r="32">
          <cell r="D32">
            <v>27181.808359999999</v>
          </cell>
          <cell r="E32">
            <v>27181.808359999999</v>
          </cell>
          <cell r="F32">
            <v>0</v>
          </cell>
          <cell r="I32">
            <v>0</v>
          </cell>
          <cell r="K32">
            <v>0</v>
          </cell>
        </row>
        <row r="33">
          <cell r="I33">
            <v>-2.1342179811135567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Market YTD"/>
      <sheetName val="Sheet1"/>
    </sheetNames>
    <sheetDataSet>
      <sheetData sheetId="0" refreshError="1"/>
      <sheetData sheetId="1" refreshError="1">
        <row r="13">
          <cell r="A13" t="str">
            <v>BATANELCO</v>
          </cell>
          <cell r="B13">
            <v>339509.8</v>
          </cell>
          <cell r="C13">
            <v>6.17829427514486</v>
          </cell>
          <cell r="E13">
            <v>5142292</v>
          </cell>
          <cell r="F13">
            <v>13401</v>
          </cell>
          <cell r="G13">
            <v>2278</v>
          </cell>
        </row>
        <row r="14">
          <cell r="A14" t="str">
            <v>CAGELCO I</v>
          </cell>
          <cell r="B14">
            <v>18577620</v>
          </cell>
          <cell r="C14">
            <v>11.296233287056401</v>
          </cell>
          <cell r="E14">
            <v>145681004</v>
          </cell>
          <cell r="F14">
            <v>199913</v>
          </cell>
          <cell r="G14">
            <v>68725.210000000006</v>
          </cell>
        </row>
        <row r="15">
          <cell r="A15" t="str">
            <v>CAGELCO II</v>
          </cell>
          <cell r="B15">
            <v>9635114.9000000004</v>
          </cell>
          <cell r="C15">
            <v>9.4590398951028494</v>
          </cell>
          <cell r="E15">
            <v>91999963</v>
          </cell>
          <cell r="F15">
            <v>226369</v>
          </cell>
          <cell r="G15">
            <v>41263.040000000001</v>
          </cell>
        </row>
        <row r="16">
          <cell r="A16" t="str">
            <v>ISELCO I</v>
          </cell>
          <cell r="B16">
            <v>30422881.59</v>
          </cell>
          <cell r="C16">
            <v>11.4368541107787</v>
          </cell>
          <cell r="E16">
            <v>235036428.81</v>
          </cell>
          <cell r="F16">
            <v>548118.69999999995</v>
          </cell>
          <cell r="G16">
            <v>99169.88</v>
          </cell>
        </row>
        <row r="17">
          <cell r="A17" t="str">
            <v>NUVELCO</v>
          </cell>
          <cell r="B17">
            <v>11307729.33</v>
          </cell>
          <cell r="C17">
            <v>7.0042831606013101</v>
          </cell>
          <cell r="E17">
            <v>149945221.05000001</v>
          </cell>
          <cell r="F17">
            <v>187258</v>
          </cell>
          <cell r="G17">
            <v>32152.34</v>
          </cell>
        </row>
        <row r="18">
          <cell r="A18" t="str">
            <v>QUIRELCO</v>
          </cell>
          <cell r="B18">
            <v>3332897.2</v>
          </cell>
          <cell r="C18">
            <v>11.359199638757399</v>
          </cell>
          <cell r="E18">
            <v>26008053.800000001</v>
          </cell>
          <cell r="F18">
            <v>0</v>
          </cell>
          <cell r="G18">
            <v>11992</v>
          </cell>
        </row>
        <row r="19">
          <cell r="B19">
            <v>73615752.819999993</v>
          </cell>
          <cell r="C19">
            <v>10.103674360157299</v>
          </cell>
          <cell r="E19">
            <v>653812962.65999997</v>
          </cell>
          <cell r="F19">
            <v>1175059.7</v>
          </cell>
          <cell r="G19">
            <v>255580.47</v>
          </cell>
        </row>
        <row r="20">
          <cell r="A20" t="str">
            <v>AURELCO</v>
          </cell>
          <cell r="B20">
            <v>2778554</v>
          </cell>
          <cell r="C20">
            <v>7.6948638273738696</v>
          </cell>
          <cell r="E20">
            <v>33259142</v>
          </cell>
          <cell r="F20">
            <v>71507</v>
          </cell>
          <cell r="G20">
            <v>13452</v>
          </cell>
        </row>
        <row r="21">
          <cell r="A21" t="str">
            <v>NEECO I</v>
          </cell>
          <cell r="B21">
            <v>12076911</v>
          </cell>
          <cell r="C21">
            <v>8.8137106822281996</v>
          </cell>
          <cell r="E21">
            <v>124727342</v>
          </cell>
          <cell r="F21">
            <v>219884</v>
          </cell>
          <cell r="G21">
            <v>46009.599999999999</v>
          </cell>
        </row>
        <row r="22">
          <cell r="A22" t="str">
            <v>NEECO II (AREA 1)</v>
          </cell>
          <cell r="B22">
            <v>16148259.869999999</v>
          </cell>
          <cell r="C22">
            <v>9.9776211225670295</v>
          </cell>
          <cell r="E22">
            <v>145439683.09999999</v>
          </cell>
          <cell r="F22">
            <v>256846.2</v>
          </cell>
          <cell r="G22">
            <v>56859.57</v>
          </cell>
        </row>
        <row r="23">
          <cell r="A23" t="str">
            <v>NEECO II (AREA 2)</v>
          </cell>
          <cell r="B23">
            <v>13474929.939999999</v>
          </cell>
          <cell r="C23">
            <v>8.0217904704001395</v>
          </cell>
          <cell r="E23">
            <v>154309057.41</v>
          </cell>
          <cell r="F23">
            <v>195094</v>
          </cell>
          <cell r="G23">
            <v>57219.12</v>
          </cell>
        </row>
        <row r="24">
          <cell r="A24" t="str">
            <v>PELCO I</v>
          </cell>
          <cell r="B24">
            <v>13600352.939999999</v>
          </cell>
          <cell r="C24">
            <v>6.3964381266740498</v>
          </cell>
          <cell r="E24">
            <v>198715428</v>
          </cell>
          <cell r="F24">
            <v>308068</v>
          </cell>
          <cell r="G24">
            <v>85779</v>
          </cell>
        </row>
        <row r="25">
          <cell r="A25" t="str">
            <v>PELCO II</v>
          </cell>
          <cell r="B25">
            <v>42146183.009999998</v>
          </cell>
          <cell r="C25">
            <v>10.877849658321701</v>
          </cell>
          <cell r="E25">
            <v>344940886.19</v>
          </cell>
          <cell r="F25">
            <v>362512.6</v>
          </cell>
          <cell r="G25">
            <v>136291.17000000001</v>
          </cell>
        </row>
        <row r="26">
          <cell r="A26" t="str">
            <v>PELCO III</v>
          </cell>
          <cell r="B26">
            <v>13155586.609999999</v>
          </cell>
          <cell r="C26">
            <v>8.3443659643878103</v>
          </cell>
          <cell r="E26">
            <v>144281525.38999999</v>
          </cell>
          <cell r="F26">
            <v>221201</v>
          </cell>
          <cell r="G26">
            <v>50823</v>
          </cell>
        </row>
        <row r="27">
          <cell r="A27" t="str">
            <v>PENELCO</v>
          </cell>
          <cell r="B27">
            <v>24645963.469999999</v>
          </cell>
          <cell r="C27">
            <v>6.3526101178627403</v>
          </cell>
          <cell r="E27">
            <v>362754713.13999999</v>
          </cell>
          <cell r="F27">
            <v>565262</v>
          </cell>
          <cell r="G27">
            <v>126991.45</v>
          </cell>
        </row>
        <row r="28">
          <cell r="A28" t="str">
            <v>PRESCO</v>
          </cell>
          <cell r="B28">
            <v>4341333</v>
          </cell>
          <cell r="C28">
            <v>10.0761990952495</v>
          </cell>
          <cell r="E28">
            <v>38703940</v>
          </cell>
          <cell r="F28">
            <v>39753</v>
          </cell>
          <cell r="G28">
            <v>14050.13</v>
          </cell>
        </row>
        <row r="29">
          <cell r="A29" t="str">
            <v>SAJELCO</v>
          </cell>
          <cell r="B29">
            <v>5344913</v>
          </cell>
          <cell r="C29">
            <v>8.9012990245982593</v>
          </cell>
          <cell r="E29">
            <v>54588597</v>
          </cell>
          <cell r="F29">
            <v>112928</v>
          </cell>
          <cell r="G29">
            <v>24641.05</v>
          </cell>
        </row>
        <row r="30">
          <cell r="A30" t="str">
            <v>TARELCO I</v>
          </cell>
          <cell r="B30">
            <v>16735288</v>
          </cell>
          <cell r="C30">
            <v>8.0486187264140696</v>
          </cell>
          <cell r="E30">
            <v>190837344</v>
          </cell>
          <cell r="F30">
            <v>354822</v>
          </cell>
          <cell r="G30">
            <v>70038.62</v>
          </cell>
        </row>
        <row r="31">
          <cell r="A31" t="str">
            <v>TARELCO II</v>
          </cell>
          <cell r="B31">
            <v>18013570</v>
          </cell>
          <cell r="C31">
            <v>7.9333770326890196</v>
          </cell>
          <cell r="E31">
            <v>208719741</v>
          </cell>
          <cell r="F31">
            <v>327245</v>
          </cell>
          <cell r="G31">
            <v>73311.839999999997</v>
          </cell>
        </row>
        <row r="32">
          <cell r="A32" t="str">
            <v>ZAMECO I</v>
          </cell>
          <cell r="B32">
            <v>7385199.5999999996</v>
          </cell>
          <cell r="C32">
            <v>8.4623560534989792</v>
          </cell>
          <cell r="E32">
            <v>79715387.5</v>
          </cell>
          <cell r="F32">
            <v>170612</v>
          </cell>
          <cell r="G32">
            <v>28238.78</v>
          </cell>
        </row>
        <row r="33">
          <cell r="A33" t="str">
            <v>ZAMECO II</v>
          </cell>
          <cell r="B33">
            <v>9914874.7400000002</v>
          </cell>
          <cell r="C33">
            <v>9.5074398475734796</v>
          </cell>
          <cell r="E33">
            <v>94147656.5</v>
          </cell>
          <cell r="F33">
            <v>222901</v>
          </cell>
          <cell r="G33">
            <v>34115.26</v>
          </cell>
        </row>
        <row r="34">
          <cell r="B34">
            <v>199761919.18000001</v>
          </cell>
          <cell r="C34">
            <v>8.3992480159551608</v>
          </cell>
          <cell r="E34">
            <v>2175140443.23</v>
          </cell>
          <cell r="F34">
            <v>3428635.8</v>
          </cell>
          <cell r="G34">
            <v>817820.59</v>
          </cell>
        </row>
        <row r="35">
          <cell r="B35">
            <v>273377672</v>
          </cell>
          <cell r="C35">
            <v>8.7989511186845899</v>
          </cell>
          <cell r="E35">
            <v>2828953405.8899999</v>
          </cell>
          <cell r="F35">
            <v>4603695.5</v>
          </cell>
          <cell r="G35">
            <v>1073401.06</v>
          </cell>
        </row>
        <row r="36">
          <cell r="A36" t="str">
            <v>AKELCO</v>
          </cell>
          <cell r="B36">
            <v>17635511.280000001</v>
          </cell>
          <cell r="C36">
            <v>9.9778642562550406</v>
          </cell>
          <cell r="E36">
            <v>159110842.72</v>
          </cell>
          <cell r="F36">
            <v>0</v>
          </cell>
          <cell r="G36">
            <v>60627</v>
          </cell>
        </row>
        <row r="37">
          <cell r="A37" t="str">
            <v>ANTECO</v>
          </cell>
          <cell r="B37">
            <v>6850319.0999999996</v>
          </cell>
          <cell r="C37">
            <v>8.0544167023278508</v>
          </cell>
          <cell r="E37">
            <v>78038313.900000006</v>
          </cell>
          <cell r="F37">
            <v>161835</v>
          </cell>
          <cell r="G37">
            <v>22730</v>
          </cell>
        </row>
        <row r="38">
          <cell r="A38" t="str">
            <v>CAPELCO</v>
          </cell>
          <cell r="B38">
            <v>15169016.949999999</v>
          </cell>
          <cell r="C38">
            <v>10.2325137256554</v>
          </cell>
          <cell r="E38">
            <v>132789987.14</v>
          </cell>
          <cell r="F38">
            <v>284305</v>
          </cell>
          <cell r="G38">
            <v>51125.760000000002</v>
          </cell>
        </row>
        <row r="39">
          <cell r="A39" t="str">
            <v>CENECO</v>
          </cell>
          <cell r="B39">
            <v>56266013</v>
          </cell>
          <cell r="C39">
            <v>11.753868403881899</v>
          </cell>
          <cell r="E39">
            <v>421999565</v>
          </cell>
          <cell r="F39">
            <v>436506</v>
          </cell>
          <cell r="G39">
            <v>164256</v>
          </cell>
        </row>
        <row r="40">
          <cell r="A40" t="str">
            <v>GUIMELCO</v>
          </cell>
          <cell r="B40">
            <v>2786549.5</v>
          </cell>
          <cell r="C40">
            <v>10.1035862978877</v>
          </cell>
          <cell r="E40">
            <v>24709039.5</v>
          </cell>
          <cell r="F40">
            <v>84217</v>
          </cell>
          <cell r="G40">
            <v>9997</v>
          </cell>
        </row>
        <row r="41">
          <cell r="A41" t="str">
            <v>ILECO I</v>
          </cell>
          <cell r="B41">
            <v>16622573.439999999</v>
          </cell>
          <cell r="C41">
            <v>8.2908496942533407</v>
          </cell>
          <cell r="E41">
            <v>183651186.52000001</v>
          </cell>
          <cell r="F41">
            <v>219242</v>
          </cell>
          <cell r="G41">
            <v>65800.42</v>
          </cell>
        </row>
        <row r="42">
          <cell r="A42" t="str">
            <v>ILECO II</v>
          </cell>
          <cell r="B42">
            <v>14739488.59</v>
          </cell>
          <cell r="C42">
            <v>11.2676495006049</v>
          </cell>
          <cell r="E42">
            <v>115904857.84</v>
          </cell>
          <cell r="F42">
            <v>168105.53</v>
          </cell>
          <cell r="G42">
            <v>42931.839999999997</v>
          </cell>
        </row>
        <row r="43">
          <cell r="A43" t="str">
            <v>ILECO III</v>
          </cell>
          <cell r="B43">
            <v>6261314.8200000003</v>
          </cell>
          <cell r="C43">
            <v>7.8973971391450002</v>
          </cell>
          <cell r="E43">
            <v>72838607.799999997</v>
          </cell>
          <cell r="F43">
            <v>183348.94</v>
          </cell>
          <cell r="G43">
            <v>26779.33</v>
          </cell>
        </row>
        <row r="44">
          <cell r="A44" t="str">
            <v>NOCECO</v>
          </cell>
          <cell r="B44">
            <v>24891830</v>
          </cell>
          <cell r="C44">
            <v>15.7293464741129</v>
          </cell>
          <cell r="E44">
            <v>133078184</v>
          </cell>
          <cell r="F44">
            <v>280871</v>
          </cell>
          <cell r="G44">
            <v>56487</v>
          </cell>
        </row>
        <row r="45">
          <cell r="A45" t="str">
            <v>NONECO</v>
          </cell>
          <cell r="B45">
            <v>16620322.310000001</v>
          </cell>
          <cell r="C45">
            <v>11.656581866165901</v>
          </cell>
          <cell r="E45">
            <v>125742229.72</v>
          </cell>
          <cell r="F45">
            <v>220604</v>
          </cell>
          <cell r="G45">
            <v>44038.18</v>
          </cell>
        </row>
        <row r="46">
          <cell r="B46">
            <v>177842938.99000001</v>
          </cell>
          <cell r="C46">
            <v>10.9257262160991</v>
          </cell>
          <cell r="E46">
            <v>1447862814.1400001</v>
          </cell>
          <cell r="F46">
            <v>2039034.47</v>
          </cell>
          <cell r="G46">
            <v>544772.53</v>
          </cell>
        </row>
        <row r="47">
          <cell r="B47">
            <v>177842938.99000001</v>
          </cell>
          <cell r="C47">
            <v>10.9257262160991</v>
          </cell>
          <cell r="E47">
            <v>1447862814.1400001</v>
          </cell>
          <cell r="F47">
            <v>2039034.47</v>
          </cell>
          <cell r="G47">
            <v>544772.53</v>
          </cell>
        </row>
        <row r="48">
          <cell r="A48" t="str">
            <v>ZAMCELCO</v>
          </cell>
          <cell r="B48">
            <v>81801186.280000001</v>
          </cell>
          <cell r="C48">
            <v>21.854275998649801</v>
          </cell>
          <cell r="E48">
            <v>292224766.01999998</v>
          </cell>
          <cell r="F48">
            <v>276936</v>
          </cell>
          <cell r="G48">
            <v>118070.77</v>
          </cell>
        </row>
        <row r="49">
          <cell r="A49" t="str">
            <v>ZAMSURECO I</v>
          </cell>
          <cell r="B49">
            <v>18915597.43</v>
          </cell>
          <cell r="C49">
            <v>12.3063596620434</v>
          </cell>
          <cell r="E49">
            <v>134211998.15000001</v>
          </cell>
          <cell r="F49">
            <v>578276.42000000004</v>
          </cell>
          <cell r="G49">
            <v>49729.71</v>
          </cell>
        </row>
        <row r="50">
          <cell r="A50" t="str">
            <v>ZANECO</v>
          </cell>
          <cell r="B50">
            <v>15206662.529999999</v>
          </cell>
          <cell r="C50">
            <v>10.187105355759099</v>
          </cell>
          <cell r="E50">
            <v>133761486.84999999</v>
          </cell>
          <cell r="F50">
            <v>305486.25</v>
          </cell>
          <cell r="G50">
            <v>49561.4</v>
          </cell>
        </row>
        <row r="51">
          <cell r="B51">
            <v>115923446.23999999</v>
          </cell>
          <cell r="C51">
            <v>17.1159691934443</v>
          </cell>
          <cell r="E51">
            <v>560198251.01999998</v>
          </cell>
          <cell r="F51">
            <v>1160698.67</v>
          </cell>
          <cell r="G51">
            <v>217361.88</v>
          </cell>
        </row>
        <row r="52">
          <cell r="A52" t="str">
            <v>BASELCO</v>
          </cell>
          <cell r="B52">
            <v>6807450.96</v>
          </cell>
          <cell r="C52">
            <v>22.165107786309399</v>
          </cell>
          <cell r="E52">
            <v>23806559.5</v>
          </cell>
          <cell r="F52">
            <v>98454.49</v>
          </cell>
          <cell r="G52">
            <v>12442</v>
          </cell>
        </row>
        <row r="53">
          <cell r="A53" t="str">
            <v>LASURECO</v>
          </cell>
          <cell r="B53">
            <v>36125483.420000002</v>
          </cell>
          <cell r="C53">
            <v>38.2989686578263</v>
          </cell>
          <cell r="E53">
            <v>58162544.579999998</v>
          </cell>
          <cell r="F53">
            <v>36923</v>
          </cell>
          <cell r="G53">
            <v>42610</v>
          </cell>
        </row>
        <row r="54">
          <cell r="A54" t="str">
            <v>MAGELCO</v>
          </cell>
          <cell r="B54">
            <v>14969359.43</v>
          </cell>
          <cell r="C54">
            <v>23.835623886672099</v>
          </cell>
          <cell r="E54">
            <v>47359746</v>
          </cell>
          <cell r="F54">
            <v>473359.91</v>
          </cell>
          <cell r="G54">
            <v>22455.43</v>
          </cell>
        </row>
        <row r="55">
          <cell r="A55" t="str">
            <v>SULECO</v>
          </cell>
          <cell r="B55">
            <v>3034917.99</v>
          </cell>
          <cell r="C55">
            <v>10.322398086777699</v>
          </cell>
          <cell r="E55">
            <v>26203419.010000002</v>
          </cell>
          <cell r="F55">
            <v>162951</v>
          </cell>
          <cell r="G55">
            <v>9410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COLL EFF YELLOW ECs"/>
      <sheetName val="02_June 2022 COLL EFF final_juv"/>
    </sheetNames>
    <sheetDataSet>
      <sheetData sheetId="0" refreshError="1">
        <row r="13">
          <cell r="D13">
            <v>94.019676557229076</v>
          </cell>
        </row>
        <row r="14">
          <cell r="D14" t="str">
            <v>100.00</v>
          </cell>
        </row>
        <row r="15">
          <cell r="D15" t="str">
            <v>100.00</v>
          </cell>
        </row>
        <row r="16">
          <cell r="D16">
            <v>96.66</v>
          </cell>
        </row>
        <row r="19">
          <cell r="D19" t="str">
            <v>100.00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d Statistical Data"/>
      <sheetName val="Sheet1"/>
    </sheetNames>
    <sheetDataSet>
      <sheetData sheetId="0" refreshError="1"/>
      <sheetData sheetId="1" refreshError="1">
        <row r="11">
          <cell r="A11" t="str">
            <v>Electric Cooperative</v>
          </cell>
          <cell r="C11" t="str">
            <v>Number of Employees</v>
          </cell>
          <cell r="D11" t="str">
            <v>Connection  (Actual Billed)</v>
          </cell>
        </row>
        <row r="12">
          <cell r="A12" t="str">
            <v>BATANELCO</v>
          </cell>
          <cell r="C12">
            <v>65</v>
          </cell>
          <cell r="D12">
            <v>7064</v>
          </cell>
        </row>
        <row r="13">
          <cell r="A13" t="str">
            <v>CAGELCO I</v>
          </cell>
          <cell r="C13">
            <v>326</v>
          </cell>
          <cell r="D13">
            <v>156724</v>
          </cell>
        </row>
        <row r="14">
          <cell r="A14" t="str">
            <v>CAGELCO II</v>
          </cell>
          <cell r="C14">
            <v>280</v>
          </cell>
          <cell r="D14">
            <v>136418</v>
          </cell>
        </row>
        <row r="15">
          <cell r="A15" t="str">
            <v>ISELCO I</v>
          </cell>
          <cell r="C15">
            <v>401</v>
          </cell>
          <cell r="D15">
            <v>221952</v>
          </cell>
        </row>
        <row r="16">
          <cell r="A16" t="str">
            <v>ISELCO II</v>
          </cell>
          <cell r="C16">
            <v>475</v>
          </cell>
          <cell r="D16">
            <v>0</v>
          </cell>
        </row>
        <row r="17">
          <cell r="A17" t="str">
            <v>NUVELCO</v>
          </cell>
          <cell r="C17">
            <v>341</v>
          </cell>
          <cell r="D17">
            <v>111008</v>
          </cell>
        </row>
        <row r="18">
          <cell r="A18" t="str">
            <v>QUIRELCO</v>
          </cell>
          <cell r="C18">
            <v>128</v>
          </cell>
          <cell r="D18">
            <v>51238</v>
          </cell>
        </row>
        <row r="19">
          <cell r="A19" t="str">
            <v>REGION II</v>
          </cell>
          <cell r="C19">
            <v>2016</v>
          </cell>
          <cell r="D19">
            <v>684404</v>
          </cell>
        </row>
        <row r="20">
          <cell r="A20" t="str">
            <v>AURELCO</v>
          </cell>
          <cell r="C20">
            <v>159</v>
          </cell>
          <cell r="D20">
            <v>58771</v>
          </cell>
        </row>
        <row r="21">
          <cell r="A21" t="str">
            <v>NEECO I</v>
          </cell>
          <cell r="C21">
            <v>206</v>
          </cell>
          <cell r="D21">
            <v>97461</v>
          </cell>
        </row>
        <row r="22">
          <cell r="A22" t="str">
            <v>NEECO II (AREA 1)</v>
          </cell>
          <cell r="C22">
            <v>264</v>
          </cell>
          <cell r="D22">
            <v>144627</v>
          </cell>
        </row>
        <row r="23">
          <cell r="A23" t="str">
            <v>NEECO II (AREA 2)</v>
          </cell>
          <cell r="C23">
            <v>249</v>
          </cell>
          <cell r="D23">
            <v>109383</v>
          </cell>
        </row>
        <row r="24">
          <cell r="A24" t="str">
            <v>PELCO I</v>
          </cell>
          <cell r="C24">
            <v>233</v>
          </cell>
          <cell r="D24">
            <v>118548</v>
          </cell>
        </row>
        <row r="25">
          <cell r="A25" t="str">
            <v>PELCO II</v>
          </cell>
          <cell r="C25">
            <v>539</v>
          </cell>
          <cell r="D25">
            <v>227644</v>
          </cell>
        </row>
        <row r="26">
          <cell r="A26" t="str">
            <v>PELCO III</v>
          </cell>
          <cell r="C26">
            <v>243</v>
          </cell>
          <cell r="D26">
            <v>75566</v>
          </cell>
        </row>
        <row r="27">
          <cell r="A27" t="str">
            <v>PENELCO</v>
          </cell>
          <cell r="C27">
            <v>448</v>
          </cell>
          <cell r="D27">
            <v>181340</v>
          </cell>
        </row>
        <row r="28">
          <cell r="A28" t="str">
            <v>PRESCO</v>
          </cell>
          <cell r="C28">
            <v>60</v>
          </cell>
          <cell r="D28">
            <v>25566</v>
          </cell>
        </row>
        <row r="29">
          <cell r="A29" t="str">
            <v>SAJELCO</v>
          </cell>
          <cell r="C29">
            <v>158</v>
          </cell>
          <cell r="D29">
            <v>40435</v>
          </cell>
        </row>
        <row r="30">
          <cell r="A30" t="str">
            <v>TARELCO I</v>
          </cell>
          <cell r="C30">
            <v>363</v>
          </cell>
          <cell r="D30">
            <v>188087</v>
          </cell>
        </row>
        <row r="31">
          <cell r="A31" t="str">
            <v>TARELCO II</v>
          </cell>
          <cell r="C31">
            <v>246</v>
          </cell>
          <cell r="D31">
            <v>117840</v>
          </cell>
        </row>
        <row r="32">
          <cell r="A32" t="str">
            <v>ZAMECO I</v>
          </cell>
          <cell r="C32">
            <v>146</v>
          </cell>
          <cell r="D32">
            <v>75179</v>
          </cell>
        </row>
        <row r="33">
          <cell r="A33" t="str">
            <v>ZAMECO II</v>
          </cell>
          <cell r="C33">
            <v>228</v>
          </cell>
          <cell r="D33">
            <v>88059</v>
          </cell>
        </row>
        <row r="34">
          <cell r="A34" t="str">
            <v>REGION III</v>
          </cell>
          <cell r="C34">
            <v>3542</v>
          </cell>
          <cell r="D34">
            <v>1548506</v>
          </cell>
        </row>
        <row r="35">
          <cell r="A35" t="str">
            <v>LUZON</v>
          </cell>
          <cell r="C35">
            <v>5558</v>
          </cell>
          <cell r="D35">
            <v>2232910</v>
          </cell>
        </row>
        <row r="36">
          <cell r="A36" t="str">
            <v>AKELCO</v>
          </cell>
          <cell r="C36">
            <v>398</v>
          </cell>
          <cell r="D36">
            <v>153517</v>
          </cell>
        </row>
        <row r="37">
          <cell r="A37" t="str">
            <v>ANTECO</v>
          </cell>
          <cell r="C37">
            <v>150</v>
          </cell>
          <cell r="D37">
            <v>116126</v>
          </cell>
        </row>
        <row r="38">
          <cell r="A38" t="str">
            <v>CAPELCO</v>
          </cell>
          <cell r="C38">
            <v>55</v>
          </cell>
          <cell r="D38">
            <v>174442</v>
          </cell>
        </row>
        <row r="39">
          <cell r="A39" t="str">
            <v>CENECO</v>
          </cell>
          <cell r="C39">
            <v>517</v>
          </cell>
          <cell r="D39">
            <v>213633</v>
          </cell>
        </row>
        <row r="40">
          <cell r="A40" t="str">
            <v>GUIMELCO</v>
          </cell>
          <cell r="C40">
            <v>135</v>
          </cell>
          <cell r="D40">
            <v>36023</v>
          </cell>
        </row>
        <row r="41">
          <cell r="A41" t="str">
            <v>ILECO I</v>
          </cell>
          <cell r="C41">
            <v>299</v>
          </cell>
          <cell r="D41">
            <v>153541</v>
          </cell>
        </row>
        <row r="42">
          <cell r="A42" t="str">
            <v>ILECO II</v>
          </cell>
          <cell r="C42">
            <v>449</v>
          </cell>
          <cell r="D42">
            <v>135975</v>
          </cell>
        </row>
        <row r="43">
          <cell r="A43" t="str">
            <v>ILECO III</v>
          </cell>
          <cell r="C43">
            <v>271</v>
          </cell>
          <cell r="D43">
            <v>109409</v>
          </cell>
        </row>
        <row r="44">
          <cell r="A44" t="str">
            <v>NOCECO</v>
          </cell>
          <cell r="C44">
            <v>394</v>
          </cell>
          <cell r="D44">
            <v>181333</v>
          </cell>
        </row>
        <row r="45">
          <cell r="A45" t="str">
            <v>NONECO</v>
          </cell>
          <cell r="C45">
            <v>340</v>
          </cell>
          <cell r="D45">
            <v>164016</v>
          </cell>
        </row>
        <row r="46">
          <cell r="A46" t="str">
            <v>REGION VI</v>
          </cell>
          <cell r="C46">
            <v>3008</v>
          </cell>
          <cell r="D46">
            <v>1438015</v>
          </cell>
        </row>
        <row r="47">
          <cell r="A47" t="str">
            <v>VISAYAS</v>
          </cell>
          <cell r="C47">
            <v>3008</v>
          </cell>
          <cell r="D47">
            <v>1438015</v>
          </cell>
        </row>
        <row r="48">
          <cell r="A48" t="str">
            <v>ZAMCELCO</v>
          </cell>
          <cell r="C48">
            <v>0</v>
          </cell>
          <cell r="D48">
            <v>122326</v>
          </cell>
        </row>
        <row r="49">
          <cell r="A49" t="str">
            <v>ZAMSURECO I</v>
          </cell>
          <cell r="C49">
            <v>412</v>
          </cell>
          <cell r="D49">
            <v>180064</v>
          </cell>
        </row>
        <row r="50">
          <cell r="A50" t="str">
            <v>ZAMSURECO II</v>
          </cell>
          <cell r="C50">
            <v>512</v>
          </cell>
          <cell r="D50">
            <v>0</v>
          </cell>
        </row>
        <row r="51">
          <cell r="A51" t="str">
            <v>ZANECO</v>
          </cell>
          <cell r="C51">
            <v>523</v>
          </cell>
          <cell r="D51">
            <v>168748</v>
          </cell>
        </row>
        <row r="52">
          <cell r="A52" t="str">
            <v>REGION IX</v>
          </cell>
          <cell r="C52">
            <v>1447</v>
          </cell>
          <cell r="D52">
            <v>471138</v>
          </cell>
        </row>
        <row r="53">
          <cell r="A53" t="str">
            <v>BASELCO</v>
          </cell>
          <cell r="C53">
            <v>259</v>
          </cell>
          <cell r="D53">
            <v>40070</v>
          </cell>
        </row>
        <row r="54">
          <cell r="A54" t="str">
            <v>CASELCO</v>
          </cell>
          <cell r="C54">
            <v>3</v>
          </cell>
          <cell r="D54">
            <v>0</v>
          </cell>
        </row>
        <row r="55">
          <cell r="A55" t="str">
            <v>LASURECO</v>
          </cell>
          <cell r="C55">
            <v>0</v>
          </cell>
          <cell r="D55">
            <v>90683</v>
          </cell>
        </row>
        <row r="56">
          <cell r="A56" t="str">
            <v>MAGELCO</v>
          </cell>
          <cell r="C56">
            <v>0</v>
          </cell>
          <cell r="D56">
            <v>54048</v>
          </cell>
        </row>
        <row r="57">
          <cell r="A57" t="str">
            <v>SIASELCO</v>
          </cell>
          <cell r="C57">
            <v>0</v>
          </cell>
          <cell r="D57">
            <v>0</v>
          </cell>
        </row>
        <row r="58">
          <cell r="A58" t="str">
            <v>SULECO</v>
          </cell>
          <cell r="C58">
            <v>76</v>
          </cell>
          <cell r="D58">
            <v>17500</v>
          </cell>
        </row>
        <row r="59">
          <cell r="A59" t="str">
            <v>TAWELCO</v>
          </cell>
          <cell r="C59">
            <v>0</v>
          </cell>
          <cell r="D59">
            <v>0</v>
          </cell>
        </row>
        <row r="60">
          <cell r="A60" t="str">
            <v>ARMM</v>
          </cell>
          <cell r="C60">
            <v>338</v>
          </cell>
          <cell r="D60">
            <v>202301</v>
          </cell>
        </row>
        <row r="61">
          <cell r="A61" t="str">
            <v>MINDANAO</v>
          </cell>
          <cell r="C61">
            <v>1785</v>
          </cell>
          <cell r="D61">
            <v>673439</v>
          </cell>
        </row>
        <row r="62">
          <cell r="A62" t="str">
            <v>NATIONAL</v>
          </cell>
          <cell r="C62">
            <v>10351</v>
          </cell>
          <cell r="D62">
            <v>4344364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T90"/>
  <sheetViews>
    <sheetView tabSelected="1" zoomScale="70" zoomScaleNormal="70" zoomScaleSheetLayoutView="80" workbookViewId="0">
      <pane xSplit="1" ySplit="10" topLeftCell="M56" activePane="bottomRight" state="frozen"/>
      <selection activeCell="C83" sqref="C83"/>
      <selection pane="topRight" activeCell="C83" sqref="C83"/>
      <selection pane="bottomLeft" activeCell="C83" sqref="C83"/>
      <selection pane="bottomRight" activeCell="AA61" sqref="AA61"/>
    </sheetView>
  </sheetViews>
  <sheetFormatPr defaultColWidth="12.5546875" defaultRowHeight="15" x14ac:dyDescent="0.25"/>
  <cols>
    <col min="1" max="1" width="43.109375" style="2" customWidth="1"/>
    <col min="2" max="3" width="13.33203125" style="2" bestFit="1" customWidth="1"/>
    <col min="4" max="4" width="12.44140625" style="2" customWidth="1"/>
    <col min="5" max="5" width="10.5546875" style="2" customWidth="1"/>
    <col min="6" max="6" width="1.109375" style="2" customWidth="1"/>
    <col min="7" max="8" width="16.109375" style="2" customWidth="1"/>
    <col min="9" max="9" width="16.5546875" style="2" bestFit="1" customWidth="1"/>
    <col min="10" max="10" width="12" style="2" bestFit="1" customWidth="1"/>
    <col min="11" max="11" width="1.44140625" style="2" customWidth="1"/>
    <col min="12" max="13" width="16.109375" style="2" customWidth="1"/>
    <col min="14" max="14" width="13.88671875" style="2" customWidth="1"/>
    <col min="15" max="15" width="9.33203125" style="2" customWidth="1"/>
    <col min="16" max="16" width="1.44140625" style="2" customWidth="1"/>
    <col min="17" max="18" width="16.109375" style="2" customWidth="1"/>
    <col min="19" max="19" width="13.88671875" style="2" customWidth="1"/>
    <col min="20" max="20" width="12" style="2" bestFit="1" customWidth="1"/>
    <col min="21" max="21" width="1.33203125" style="2" customWidth="1"/>
    <col min="22" max="23" width="16.109375" style="2" customWidth="1"/>
    <col min="24" max="24" width="16.5546875" style="2" bestFit="1" customWidth="1"/>
    <col min="25" max="25" width="11.5546875" style="2" customWidth="1"/>
    <col min="26" max="26" width="1.33203125" style="2" customWidth="1"/>
    <col min="27" max="27" width="16.109375" style="2" customWidth="1"/>
    <col min="28" max="28" width="14.33203125" style="2" customWidth="1"/>
    <col min="29" max="29" width="14.6640625" style="2" bestFit="1" customWidth="1"/>
    <col min="30" max="30" width="12.33203125" style="2" bestFit="1" customWidth="1"/>
    <col min="31" max="31" width="1.5546875" style="2" customWidth="1"/>
    <col min="32" max="33" width="14.33203125" style="2" customWidth="1"/>
    <col min="34" max="34" width="14.33203125" style="2" bestFit="1" customWidth="1"/>
    <col min="35" max="35" width="12" style="2" bestFit="1" customWidth="1"/>
    <col min="36" max="36" width="1.5546875" style="2" customWidth="1"/>
    <col min="37" max="37" width="18" style="2" bestFit="1" customWidth="1"/>
    <col min="38" max="38" width="16.109375" style="2" customWidth="1"/>
    <col min="39" max="39" width="16.5546875" style="2" bestFit="1" customWidth="1"/>
    <col min="40" max="40" width="12.5546875" style="2" bestFit="1" customWidth="1"/>
    <col min="41" max="48" width="14.109375" style="2" customWidth="1"/>
    <col min="49" max="16384" width="12.5546875" style="2"/>
  </cols>
  <sheetData>
    <row r="1" spans="1:40" ht="13.5" customHeight="1" x14ac:dyDescent="0.3">
      <c r="A1" s="1" t="s">
        <v>0</v>
      </c>
    </row>
    <row r="2" spans="1:40" ht="19.5" customHeight="1" x14ac:dyDescent="0.3">
      <c r="A2" s="1" t="str">
        <f>+[4]CAR!A2</f>
        <v>Financial Profile as of June 30, 2023</v>
      </c>
    </row>
    <row r="3" spans="1:40" ht="21" customHeight="1" x14ac:dyDescent="0.3">
      <c r="A3" s="1" t="str">
        <f>+[4]CAR!A3</f>
        <v>With Comparative Figures as of June 30, 2022</v>
      </c>
    </row>
    <row r="4" spans="1:40" ht="15.75" customHeight="1" x14ac:dyDescent="0.3">
      <c r="A4" s="3" t="s">
        <v>1</v>
      </c>
    </row>
    <row r="5" spans="1:40" ht="15.6" x14ac:dyDescent="0.3">
      <c r="B5" s="34"/>
      <c r="C5" s="34"/>
      <c r="D5" s="34"/>
      <c r="E5" s="34"/>
      <c r="F5" s="33"/>
      <c r="G5" s="33"/>
      <c r="H5" s="33"/>
      <c r="I5" s="33"/>
      <c r="J5" s="33"/>
      <c r="K5" s="4"/>
      <c r="L5" s="35"/>
      <c r="M5" s="35"/>
      <c r="N5" s="35"/>
      <c r="O5" s="35"/>
      <c r="P5" s="5"/>
      <c r="Q5" s="33"/>
      <c r="R5" s="33"/>
      <c r="S5" s="33"/>
      <c r="T5" s="33"/>
      <c r="U5" s="4"/>
      <c r="V5" s="4"/>
      <c r="W5" s="4"/>
      <c r="X5" s="4"/>
      <c r="Y5" s="4"/>
      <c r="Z5" s="5"/>
      <c r="AA5" s="34"/>
      <c r="AB5" s="34"/>
      <c r="AC5" s="34"/>
      <c r="AD5" s="34"/>
      <c r="AE5" s="4"/>
      <c r="AF5" s="35"/>
      <c r="AG5" s="35"/>
      <c r="AH5" s="35"/>
      <c r="AI5" s="35"/>
      <c r="AJ5" s="4"/>
      <c r="AK5" s="33"/>
      <c r="AL5" s="33"/>
      <c r="AM5" s="33"/>
      <c r="AN5" s="33"/>
    </row>
    <row r="6" spans="1:40" ht="15.6" x14ac:dyDescent="0.3">
      <c r="B6" s="33" t="s">
        <v>2</v>
      </c>
      <c r="C6" s="33"/>
      <c r="D6" s="33"/>
      <c r="E6" s="33"/>
      <c r="F6" s="33" t="s">
        <v>3</v>
      </c>
      <c r="G6" s="33"/>
      <c r="H6" s="33"/>
      <c r="I6" s="33"/>
      <c r="J6" s="33"/>
      <c r="K6" s="4"/>
      <c r="L6" s="33" t="s">
        <v>4</v>
      </c>
      <c r="M6" s="33"/>
      <c r="N6" s="33"/>
      <c r="O6" s="33"/>
      <c r="P6" s="5"/>
      <c r="Q6" s="33" t="s">
        <v>5</v>
      </c>
      <c r="R6" s="33"/>
      <c r="S6" s="33"/>
      <c r="T6" s="33"/>
      <c r="U6" s="4"/>
      <c r="V6" s="33" t="s">
        <v>6</v>
      </c>
      <c r="W6" s="33"/>
      <c r="X6" s="33"/>
      <c r="Y6" s="33"/>
      <c r="Z6" s="5"/>
      <c r="AA6" s="33" t="s">
        <v>7</v>
      </c>
      <c r="AB6" s="33"/>
      <c r="AC6" s="33"/>
      <c r="AD6" s="33"/>
      <c r="AE6" s="4"/>
      <c r="AF6" s="33" t="s">
        <v>8</v>
      </c>
      <c r="AG6" s="33"/>
      <c r="AH6" s="33"/>
      <c r="AI6" s="33"/>
      <c r="AJ6" s="4"/>
      <c r="AK6" s="33" t="s">
        <v>9</v>
      </c>
      <c r="AL6" s="33"/>
      <c r="AM6" s="33"/>
      <c r="AN6" s="33"/>
    </row>
    <row r="7" spans="1:40" s="6" customFormat="1" ht="9.9" customHeight="1" x14ac:dyDescent="0.25">
      <c r="B7" s="6" t="s">
        <v>10</v>
      </c>
      <c r="C7" s="6" t="s">
        <v>10</v>
      </c>
      <c r="G7" s="6" t="s">
        <v>11</v>
      </c>
      <c r="H7" s="6" t="s">
        <v>11</v>
      </c>
      <c r="L7" s="6" t="s">
        <v>12</v>
      </c>
      <c r="M7" s="6" t="s">
        <v>12</v>
      </c>
      <c r="Q7" s="6" t="s">
        <v>13</v>
      </c>
      <c r="R7" s="6" t="s">
        <v>13</v>
      </c>
      <c r="V7" s="2"/>
      <c r="W7" s="2"/>
      <c r="X7" s="2"/>
      <c r="Y7" s="2"/>
      <c r="AA7" s="6" t="s">
        <v>14</v>
      </c>
      <c r="AB7" s="6" t="s">
        <v>14</v>
      </c>
      <c r="AF7" s="6" t="s">
        <v>15</v>
      </c>
      <c r="AG7" s="6" t="s">
        <v>15</v>
      </c>
    </row>
    <row r="8" spans="1:40" ht="20.100000000000001" customHeight="1" x14ac:dyDescent="0.25">
      <c r="B8" s="7">
        <v>2023</v>
      </c>
      <c r="C8" s="7">
        <v>2022</v>
      </c>
      <c r="D8" s="31" t="s">
        <v>16</v>
      </c>
      <c r="E8" s="31"/>
      <c r="G8" s="7">
        <v>2023</v>
      </c>
      <c r="H8" s="7">
        <v>2022</v>
      </c>
      <c r="I8" s="31" t="s">
        <v>16</v>
      </c>
      <c r="J8" s="31"/>
      <c r="K8" s="7"/>
      <c r="L8" s="7">
        <v>2023</v>
      </c>
      <c r="M8" s="7">
        <v>2022</v>
      </c>
      <c r="N8" s="31" t="s">
        <v>16</v>
      </c>
      <c r="O8" s="31"/>
      <c r="Q8" s="7">
        <v>2023</v>
      </c>
      <c r="R8" s="7">
        <v>2022</v>
      </c>
      <c r="S8" s="31" t="s">
        <v>16</v>
      </c>
      <c r="T8" s="31"/>
      <c r="U8" s="7"/>
      <c r="V8" s="7">
        <v>2023</v>
      </c>
      <c r="W8" s="7">
        <v>2022</v>
      </c>
      <c r="X8" s="31" t="s">
        <v>16</v>
      </c>
      <c r="Y8" s="31"/>
      <c r="AA8" s="7">
        <v>2023</v>
      </c>
      <c r="AB8" s="7">
        <v>2022</v>
      </c>
      <c r="AC8" s="31" t="s">
        <v>16</v>
      </c>
      <c r="AD8" s="31"/>
      <c r="AE8" s="7"/>
      <c r="AF8" s="7">
        <v>2023</v>
      </c>
      <c r="AG8" s="7">
        <v>2022</v>
      </c>
      <c r="AH8" s="31" t="s">
        <v>16</v>
      </c>
      <c r="AI8" s="31"/>
      <c r="AJ8" s="7"/>
      <c r="AK8" s="7">
        <v>2023</v>
      </c>
      <c r="AL8" s="7">
        <v>2022</v>
      </c>
      <c r="AM8" s="31" t="s">
        <v>16</v>
      </c>
      <c r="AN8" s="31"/>
    </row>
    <row r="9" spans="1:40" ht="20.100000000000001" customHeight="1" x14ac:dyDescent="0.25">
      <c r="B9" s="7" t="s">
        <v>17</v>
      </c>
      <c r="C9" s="7" t="s">
        <v>17</v>
      </c>
      <c r="D9" s="7" t="s">
        <v>18</v>
      </c>
      <c r="E9" s="7" t="s">
        <v>19</v>
      </c>
      <c r="G9" s="7" t="s">
        <v>17</v>
      </c>
      <c r="H9" s="7" t="s">
        <v>17</v>
      </c>
      <c r="I9" s="7" t="s">
        <v>18</v>
      </c>
      <c r="J9" s="7" t="s">
        <v>19</v>
      </c>
      <c r="K9" s="7"/>
      <c r="L9" s="7" t="s">
        <v>17</v>
      </c>
      <c r="M9" s="7" t="s">
        <v>17</v>
      </c>
      <c r="N9" s="7" t="s">
        <v>18</v>
      </c>
      <c r="O9" s="7" t="s">
        <v>19</v>
      </c>
      <c r="Q9" s="7" t="s">
        <v>17</v>
      </c>
      <c r="R9" s="7" t="s">
        <v>17</v>
      </c>
      <c r="S9" s="7" t="s">
        <v>18</v>
      </c>
      <c r="T9" s="7" t="s">
        <v>19</v>
      </c>
      <c r="U9" s="7"/>
      <c r="V9" s="7" t="s">
        <v>17</v>
      </c>
      <c r="W9" s="7" t="s">
        <v>17</v>
      </c>
      <c r="X9" s="7" t="s">
        <v>18</v>
      </c>
      <c r="Y9" s="7" t="s">
        <v>19</v>
      </c>
      <c r="AA9" s="7" t="s">
        <v>17</v>
      </c>
      <c r="AB9" s="7" t="s">
        <v>17</v>
      </c>
      <c r="AC9" s="7" t="s">
        <v>18</v>
      </c>
      <c r="AD9" s="7" t="s">
        <v>19</v>
      </c>
      <c r="AE9" s="7"/>
      <c r="AF9" s="7" t="s">
        <v>17</v>
      </c>
      <c r="AG9" s="7" t="s">
        <v>17</v>
      </c>
      <c r="AH9" s="7" t="s">
        <v>18</v>
      </c>
      <c r="AI9" s="7" t="s">
        <v>19</v>
      </c>
      <c r="AJ9" s="7"/>
      <c r="AK9" s="7" t="s">
        <v>17</v>
      </c>
      <c r="AL9" s="7" t="s">
        <v>17</v>
      </c>
      <c r="AM9" s="7" t="s">
        <v>18</v>
      </c>
      <c r="AN9" s="7" t="s">
        <v>19</v>
      </c>
    </row>
    <row r="10" spans="1:40" ht="10.5" customHeight="1" x14ac:dyDescent="0.25"/>
    <row r="11" spans="1:40" ht="15.6" x14ac:dyDescent="0.3">
      <c r="A11" s="1" t="s">
        <v>20</v>
      </c>
    </row>
    <row r="12" spans="1:40" ht="9.9" customHeight="1" x14ac:dyDescent="0.25"/>
    <row r="13" spans="1:40" s="9" customFormat="1" ht="15" customHeight="1" x14ac:dyDescent="0.25">
      <c r="A13" s="8" t="s">
        <v>21</v>
      </c>
      <c r="B13" s="9">
        <v>57042.768599999996</v>
      </c>
      <c r="C13" s="9">
        <v>48258.854319999999</v>
      </c>
      <c r="D13" s="9">
        <f t="shared" ref="D13:D22" si="0">B13-C13</f>
        <v>8783.9142799999972</v>
      </c>
      <c r="E13" s="9">
        <f t="shared" ref="E13:E22" si="1">D13/C13*100</f>
        <v>18.201663515993715</v>
      </c>
      <c r="G13" s="9">
        <v>2242792.7346099997</v>
      </c>
      <c r="H13" s="9">
        <v>1841518.99437</v>
      </c>
      <c r="I13" s="9">
        <f t="shared" ref="I13:I22" si="2">G13-H13</f>
        <v>401273.74023999972</v>
      </c>
      <c r="J13" s="9">
        <f t="shared" ref="J13:J22" si="3">I13/H13*100</f>
        <v>21.79036661944826</v>
      </c>
      <c r="L13" s="9">
        <v>1343909.1844899999</v>
      </c>
      <c r="M13" s="9">
        <v>1195932.43918</v>
      </c>
      <c r="N13" s="9">
        <f>L13-M13</f>
        <v>147976.74530999991</v>
      </c>
      <c r="O13" s="9">
        <f>N13/M13*100</f>
        <v>12.373336524884406</v>
      </c>
      <c r="Q13" s="9">
        <v>2969782.94398</v>
      </c>
      <c r="R13" s="9">
        <v>2787342.1445899997</v>
      </c>
      <c r="S13" s="9">
        <f t="shared" ref="S13:S22" si="4">Q13-R13</f>
        <v>182440.79939000029</v>
      </c>
      <c r="T13" s="9">
        <f t="shared" ref="T13:T22" si="5">S13/R13*100</f>
        <v>6.5453320735706155</v>
      </c>
      <c r="V13" s="9">
        <v>1960314.2526399998</v>
      </c>
      <c r="W13" s="9">
        <v>1703402.1088700001</v>
      </c>
      <c r="X13" s="9">
        <f t="shared" ref="X13:X22" si="6">V13-W13</f>
        <v>256912.14376999973</v>
      </c>
      <c r="Y13" s="9">
        <f t="shared" ref="Y13:Y22" si="7">X13/W13*100</f>
        <v>15.08229574404071</v>
      </c>
      <c r="AA13" s="9">
        <v>1212728.3622300001</v>
      </c>
      <c r="AB13" s="9">
        <v>461381.78644</v>
      </c>
      <c r="AC13" s="9">
        <f t="shared" ref="AC13:AC22" si="8">AA13-AB13</f>
        <v>751346.57579000015</v>
      </c>
      <c r="AD13" s="9">
        <f t="shared" ref="AD13:AD22" si="9">AC13/AB13*100</f>
        <v>162.84703858540988</v>
      </c>
      <c r="AF13" s="9">
        <v>358870.29913</v>
      </c>
      <c r="AG13" s="9">
        <v>334563.75280999998</v>
      </c>
      <c r="AH13" s="9">
        <f t="shared" ref="AH13:AH22" si="10">AF13-AG13</f>
        <v>24306.546320000023</v>
      </c>
      <c r="AI13" s="9">
        <f t="shared" ref="AI13:AI22" si="11">AH13/AG13*100</f>
        <v>7.2651463632415076</v>
      </c>
      <c r="AK13" s="9">
        <f t="shared" ref="AK13:AL18" si="12">B13+G13+L13+Q13+V13+AA13+AF13</f>
        <v>10145440.545680001</v>
      </c>
      <c r="AL13" s="9">
        <f t="shared" si="12"/>
        <v>8372400.0805799998</v>
      </c>
      <c r="AM13" s="9">
        <f t="shared" ref="AM13:AM22" si="13">AK13-AL13</f>
        <v>1773040.4651000015</v>
      </c>
      <c r="AN13" s="9">
        <f t="shared" ref="AN13:AN22" si="14">AM13/AL13*100</f>
        <v>21.177206631735327</v>
      </c>
    </row>
    <row r="14" spans="1:40" s="9" customFormat="1" ht="15" customHeight="1" x14ac:dyDescent="0.25">
      <c r="A14" s="11" t="s">
        <v>22</v>
      </c>
      <c r="B14" s="9">
        <v>2431.7733700000003</v>
      </c>
      <c r="C14" s="9">
        <v>236.91157999999999</v>
      </c>
      <c r="D14" s="9">
        <f t="shared" si="0"/>
        <v>2194.8617900000004</v>
      </c>
      <c r="E14" s="9">
        <f t="shared" si="1"/>
        <v>926.44766034653117</v>
      </c>
      <c r="G14" s="9">
        <v>46496.131780000003</v>
      </c>
      <c r="H14" s="9">
        <v>42363.572759999995</v>
      </c>
      <c r="I14" s="9">
        <f t="shared" si="2"/>
        <v>4132.5590200000079</v>
      </c>
      <c r="J14" s="9">
        <f t="shared" si="3"/>
        <v>9.7549822896476783</v>
      </c>
      <c r="L14" s="9">
        <v>43123.306210000002</v>
      </c>
      <c r="M14" s="9">
        <v>42633.712610000002</v>
      </c>
      <c r="N14" s="9">
        <f t="shared" ref="N14:N22" si="15">L14-M14</f>
        <v>489.59360000000015</v>
      </c>
      <c r="O14" s="9">
        <f t="shared" ref="O14:O22" si="16">N14/M14*100</f>
        <v>1.1483719573724456</v>
      </c>
      <c r="Q14" s="9">
        <v>52008.287299999996</v>
      </c>
      <c r="R14" s="9">
        <v>51243.017510000005</v>
      </c>
      <c r="S14" s="9">
        <f t="shared" si="4"/>
        <v>765.26978999999119</v>
      </c>
      <c r="T14" s="9">
        <f t="shared" si="5"/>
        <v>1.4934128144398402</v>
      </c>
      <c r="V14" s="9">
        <v>47488.721819999999</v>
      </c>
      <c r="W14" s="9">
        <v>46560.270739999993</v>
      </c>
      <c r="X14" s="9">
        <f t="shared" si="6"/>
        <v>928.45108000000619</v>
      </c>
      <c r="Y14" s="9">
        <f t="shared" si="7"/>
        <v>1.9940843668728341</v>
      </c>
      <c r="AA14" s="9">
        <v>28535.381969999999</v>
      </c>
      <c r="AB14" s="9">
        <v>25235.955999999998</v>
      </c>
      <c r="AC14" s="9">
        <f t="shared" si="8"/>
        <v>3299.4259700000002</v>
      </c>
      <c r="AD14" s="9">
        <f t="shared" si="9"/>
        <v>13.074305447354561</v>
      </c>
      <c r="AF14" s="9">
        <v>13693.377069999999</v>
      </c>
      <c r="AG14" s="9">
        <v>13846.653109999999</v>
      </c>
      <c r="AH14" s="9">
        <f t="shared" si="10"/>
        <v>-153.27604000000065</v>
      </c>
      <c r="AI14" s="9">
        <f t="shared" si="11"/>
        <v>-1.1069537077469305</v>
      </c>
      <c r="AK14" s="9">
        <f t="shared" si="12"/>
        <v>233776.97951999999</v>
      </c>
      <c r="AL14" s="9">
        <f t="shared" si="12"/>
        <v>222120.09431000001</v>
      </c>
      <c r="AM14" s="9">
        <f t="shared" si="13"/>
        <v>11656.885209999979</v>
      </c>
      <c r="AN14" s="9">
        <f t="shared" si="14"/>
        <v>5.2480102019636039</v>
      </c>
    </row>
    <row r="15" spans="1:40" s="9" customFormat="1" ht="15" customHeight="1" x14ac:dyDescent="0.25">
      <c r="A15" s="11" t="s">
        <v>23</v>
      </c>
      <c r="B15" s="9">
        <v>1297.76215</v>
      </c>
      <c r="C15" s="9">
        <v>1025.04574</v>
      </c>
      <c r="D15" s="9">
        <f t="shared" si="0"/>
        <v>272.71641</v>
      </c>
      <c r="E15" s="9">
        <f t="shared" si="1"/>
        <v>26.605291779467322</v>
      </c>
      <c r="G15" s="9">
        <v>37171.408670000004</v>
      </c>
      <c r="H15" s="9">
        <v>42632.350959999996</v>
      </c>
      <c r="I15" s="9">
        <f t="shared" si="2"/>
        <v>-5460.9422899999918</v>
      </c>
      <c r="J15" s="9">
        <f t="shared" si="3"/>
        <v>-12.809385752908037</v>
      </c>
      <c r="L15" s="9">
        <v>22417.593139999997</v>
      </c>
      <c r="M15" s="9">
        <v>27319.406419999999</v>
      </c>
      <c r="N15" s="9">
        <f t="shared" si="15"/>
        <v>-4901.8132800000021</v>
      </c>
      <c r="O15" s="9">
        <f t="shared" si="16"/>
        <v>-17.942605357675273</v>
      </c>
      <c r="Q15" s="9">
        <v>49260.520089999998</v>
      </c>
      <c r="R15" s="9">
        <v>67831.858189999999</v>
      </c>
      <c r="S15" s="9">
        <f t="shared" si="4"/>
        <v>-18571.338100000001</v>
      </c>
      <c r="T15" s="9">
        <f t="shared" si="5"/>
        <v>-27.378489393554382</v>
      </c>
      <c r="V15" s="9">
        <v>28873.081610000001</v>
      </c>
      <c r="W15" s="9">
        <v>37803.262440000006</v>
      </c>
      <c r="X15" s="9">
        <f t="shared" si="6"/>
        <v>-8930.1808300000048</v>
      </c>
      <c r="Y15" s="9">
        <f t="shared" si="7"/>
        <v>-23.622778177342948</v>
      </c>
      <c r="AA15" s="9">
        <v>17859.9211</v>
      </c>
      <c r="AB15" s="9">
        <v>9782.0275000000001</v>
      </c>
      <c r="AC15" s="9">
        <f t="shared" si="8"/>
        <v>8077.8935999999994</v>
      </c>
      <c r="AD15" s="9">
        <f t="shared" si="9"/>
        <v>82.578929572626933</v>
      </c>
      <c r="AF15" s="9">
        <v>5973.3363900000004</v>
      </c>
      <c r="AG15" s="9">
        <v>7731.9167399999997</v>
      </c>
      <c r="AH15" s="9">
        <f t="shared" si="10"/>
        <v>-1758.5803499999993</v>
      </c>
      <c r="AI15" s="9">
        <f t="shared" si="11"/>
        <v>-22.744429475064411</v>
      </c>
      <c r="AK15" s="9">
        <f t="shared" si="12"/>
        <v>162853.62315000003</v>
      </c>
      <c r="AL15" s="9">
        <f t="shared" si="12"/>
        <v>194125.86799</v>
      </c>
      <c r="AM15" s="9">
        <f t="shared" si="13"/>
        <v>-31272.24483999997</v>
      </c>
      <c r="AN15" s="9">
        <f t="shared" si="14"/>
        <v>-16.109262080214314</v>
      </c>
    </row>
    <row r="16" spans="1:40" s="9" customFormat="1" ht="15" customHeight="1" x14ac:dyDescent="0.25">
      <c r="A16" s="11" t="s">
        <v>24</v>
      </c>
      <c r="B16" s="9">
        <v>5979.1019799999995</v>
      </c>
      <c r="C16" s="9">
        <v>1569.3813599999999</v>
      </c>
      <c r="D16" s="9">
        <f t="shared" si="0"/>
        <v>4409.7206200000001</v>
      </c>
      <c r="E16" s="9">
        <f>D16/C16*100</f>
        <v>280.98464352858127</v>
      </c>
      <c r="G16" s="9">
        <v>214148.10589000001</v>
      </c>
      <c r="H16" s="9">
        <v>177093.09061000001</v>
      </c>
      <c r="I16" s="9">
        <f t="shared" si="2"/>
        <v>37055.015279999992</v>
      </c>
      <c r="J16" s="9">
        <f t="shared" si="3"/>
        <v>20.924032186893001</v>
      </c>
      <c r="L16" s="9">
        <v>22486.571369999998</v>
      </c>
      <c r="M16" s="9">
        <v>22440.83771</v>
      </c>
      <c r="N16" s="9">
        <f t="shared" si="15"/>
        <v>45.733659999998054</v>
      </c>
      <c r="O16" s="9">
        <f t="shared" si="16"/>
        <v>0.20379658099669959</v>
      </c>
      <c r="Q16" s="9">
        <v>28864.859469999996</v>
      </c>
      <c r="R16" s="9">
        <v>28646.835440000003</v>
      </c>
      <c r="S16" s="9">
        <f t="shared" si="4"/>
        <v>218.02402999999322</v>
      </c>
      <c r="T16" s="9">
        <f t="shared" si="5"/>
        <v>0.76107544394087945</v>
      </c>
      <c r="V16" s="9">
        <v>174871.33283999999</v>
      </c>
      <c r="W16" s="9">
        <v>109487.61731</v>
      </c>
      <c r="X16" s="9">
        <f t="shared" si="6"/>
        <v>65383.715529999987</v>
      </c>
      <c r="Y16" s="9">
        <f t="shared" si="7"/>
        <v>59.717908870803591</v>
      </c>
      <c r="AA16" s="9">
        <v>119623.44855</v>
      </c>
      <c r="AB16" s="9">
        <v>32254.77493</v>
      </c>
      <c r="AC16" s="9">
        <f t="shared" si="8"/>
        <v>87368.673620000001</v>
      </c>
      <c r="AD16" s="9">
        <f t="shared" si="9"/>
        <v>270.87051083013091</v>
      </c>
      <c r="AF16" s="9">
        <v>7074.6006400000006</v>
      </c>
      <c r="AG16" s="9">
        <v>7179.5266700000002</v>
      </c>
      <c r="AH16" s="9">
        <f t="shared" si="10"/>
        <v>-104.92602999999963</v>
      </c>
      <c r="AI16" s="9">
        <f t="shared" si="11"/>
        <v>-1.4614616648537309</v>
      </c>
      <c r="AK16" s="9">
        <f t="shared" si="12"/>
        <v>573048.02073999995</v>
      </c>
      <c r="AL16" s="9">
        <f t="shared" si="12"/>
        <v>378672.06403000001</v>
      </c>
      <c r="AM16" s="9">
        <f t="shared" si="13"/>
        <v>194375.95670999994</v>
      </c>
      <c r="AN16" s="9">
        <f t="shared" si="14"/>
        <v>51.330947057821689</v>
      </c>
    </row>
    <row r="17" spans="1:40" s="9" customFormat="1" ht="15" customHeight="1" x14ac:dyDescent="0.25">
      <c r="A17" s="11" t="s">
        <v>25</v>
      </c>
      <c r="B17" s="9">
        <v>0</v>
      </c>
      <c r="C17" s="9">
        <v>0</v>
      </c>
      <c r="D17" s="9">
        <f t="shared" si="0"/>
        <v>0</v>
      </c>
      <c r="G17" s="9">
        <v>3892.1261600000003</v>
      </c>
      <c r="H17" s="9">
        <v>3543.26818</v>
      </c>
      <c r="I17" s="9">
        <f t="shared" si="2"/>
        <v>348.85798000000023</v>
      </c>
      <c r="J17" s="9">
        <f t="shared" si="3"/>
        <v>9.8456555439165268</v>
      </c>
      <c r="L17" s="9">
        <v>3795.8489600000003</v>
      </c>
      <c r="M17" s="9">
        <v>3858.3100100000001</v>
      </c>
      <c r="N17" s="9">
        <f t="shared" si="15"/>
        <v>-62.461049999999886</v>
      </c>
      <c r="O17" s="9">
        <f t="shared" si="16"/>
        <v>-1.6188706930783896</v>
      </c>
      <c r="Q17" s="9">
        <v>6169.1287100000009</v>
      </c>
      <c r="R17" s="9">
        <v>5818.1316800000004</v>
      </c>
      <c r="S17" s="9">
        <f t="shared" si="4"/>
        <v>350.99703000000045</v>
      </c>
      <c r="T17" s="9">
        <f t="shared" si="5"/>
        <v>6.0328134408948335</v>
      </c>
      <c r="V17" s="9">
        <v>0</v>
      </c>
      <c r="W17" s="9">
        <v>0</v>
      </c>
      <c r="X17" s="9">
        <f t="shared" si="6"/>
        <v>0</v>
      </c>
      <c r="Y17" s="9">
        <f>IFERROR(X17/W17*100,0)</f>
        <v>0</v>
      </c>
      <c r="AA17" s="9">
        <v>0</v>
      </c>
      <c r="AB17" s="9">
        <v>0</v>
      </c>
      <c r="AC17" s="9">
        <f t="shared" si="8"/>
        <v>0</v>
      </c>
      <c r="AD17" s="9">
        <f>IFERROR(AC17/AB17*100,0)</f>
        <v>0</v>
      </c>
      <c r="AF17" s="9">
        <v>-0.18467</v>
      </c>
      <c r="AG17" s="9">
        <v>0</v>
      </c>
      <c r="AH17" s="9">
        <f t="shared" si="10"/>
        <v>-0.18467</v>
      </c>
      <c r="AK17" s="9">
        <f t="shared" si="12"/>
        <v>13856.919160000001</v>
      </c>
      <c r="AL17" s="9">
        <f t="shared" si="12"/>
        <v>13219.709870000001</v>
      </c>
      <c r="AM17" s="9">
        <f t="shared" si="13"/>
        <v>637.20929000000069</v>
      </c>
      <c r="AN17" s="9">
        <f t="shared" si="14"/>
        <v>4.8201457994630008</v>
      </c>
    </row>
    <row r="18" spans="1:40" s="9" customFormat="1" ht="15" customHeight="1" x14ac:dyDescent="0.25">
      <c r="A18" s="11" t="s">
        <v>26</v>
      </c>
      <c r="B18" s="9">
        <v>0</v>
      </c>
      <c r="C18" s="9">
        <v>0</v>
      </c>
      <c r="D18" s="9">
        <f t="shared" si="0"/>
        <v>0</v>
      </c>
      <c r="G18" s="9">
        <v>-0.50841000000000003</v>
      </c>
      <c r="H18" s="9">
        <v>-8.490000000000001E-3</v>
      </c>
      <c r="I18" s="9">
        <f t="shared" si="2"/>
        <v>-0.49992000000000003</v>
      </c>
      <c r="J18" s="9">
        <f t="shared" si="3"/>
        <v>5888.3392226148408</v>
      </c>
      <c r="L18" s="9">
        <v>127.61633</v>
      </c>
      <c r="M18" s="9">
        <v>179.41818000000001</v>
      </c>
      <c r="N18" s="9">
        <f t="shared" si="15"/>
        <v>-51.801850000000002</v>
      </c>
      <c r="O18" s="9">
        <f t="shared" si="16"/>
        <v>-28.872129903446798</v>
      </c>
      <c r="Q18" s="9">
        <v>8823.1042199999993</v>
      </c>
      <c r="R18" s="9">
        <v>13643.090560000001</v>
      </c>
      <c r="S18" s="9">
        <f t="shared" si="4"/>
        <v>-4819.9863400000013</v>
      </c>
      <c r="T18" s="9">
        <f t="shared" si="5"/>
        <v>-35.329138356170233</v>
      </c>
      <c r="V18" s="9">
        <v>-4430.7786900000001</v>
      </c>
      <c r="W18" s="9">
        <v>-6741.8163000000004</v>
      </c>
      <c r="X18" s="9">
        <f t="shared" si="6"/>
        <v>2311.0376100000003</v>
      </c>
      <c r="Y18" s="9">
        <f t="shared" si="7"/>
        <v>-34.279154268857788</v>
      </c>
      <c r="AA18" s="9">
        <v>0</v>
      </c>
      <c r="AB18" s="9">
        <v>0</v>
      </c>
      <c r="AC18" s="9">
        <f t="shared" si="8"/>
        <v>0</v>
      </c>
      <c r="AD18" s="9">
        <f>IFERROR(AC18/AB18*100,0)</f>
        <v>0</v>
      </c>
      <c r="AF18" s="9">
        <v>191.72840000000002</v>
      </c>
      <c r="AG18" s="9">
        <v>829.26699000000008</v>
      </c>
      <c r="AH18" s="9">
        <f t="shared" si="10"/>
        <v>-637.53859000000011</v>
      </c>
      <c r="AI18" s="9">
        <f t="shared" si="11"/>
        <v>-76.879774269080698</v>
      </c>
      <c r="AK18" s="9">
        <f t="shared" si="12"/>
        <v>4711.1618499999995</v>
      </c>
      <c r="AL18" s="9">
        <f t="shared" si="12"/>
        <v>7909.9509400000006</v>
      </c>
      <c r="AM18" s="9">
        <f t="shared" si="13"/>
        <v>-3198.7890900000011</v>
      </c>
      <c r="AN18" s="9">
        <f t="shared" si="14"/>
        <v>-40.440062324836632</v>
      </c>
    </row>
    <row r="19" spans="1:40" s="9" customFormat="1" ht="15" customHeight="1" x14ac:dyDescent="0.25">
      <c r="A19" s="11" t="s">
        <v>27</v>
      </c>
      <c r="B19" s="9">
        <f>B13-B14-B15-B16-B17-B18</f>
        <v>47334.131099999991</v>
      </c>
      <c r="C19" s="9">
        <f>C13-C14-C15-C16-C17-C18</f>
        <v>45427.515639999998</v>
      </c>
      <c r="D19" s="9">
        <f t="shared" si="0"/>
        <v>1906.6154599999936</v>
      </c>
      <c r="E19" s="9">
        <f t="shared" si="1"/>
        <v>4.1970498125175348</v>
      </c>
      <c r="G19" s="9">
        <f>G13-G14-G15-G16-G17-G18</f>
        <v>1941085.47052</v>
      </c>
      <c r="H19" s="9">
        <f>H13-H14-H15-H16-H17-H18</f>
        <v>1575886.7203500001</v>
      </c>
      <c r="I19" s="9">
        <f t="shared" si="2"/>
        <v>365198.7501699999</v>
      </c>
      <c r="J19" s="9">
        <f t="shared" si="3"/>
        <v>23.174175240774304</v>
      </c>
      <c r="L19" s="9">
        <f>L13-L14-L15-L16-L17-L18</f>
        <v>1251958.2484799996</v>
      </c>
      <c r="M19" s="9">
        <f>M13-M14-M15-M16-M17-M18</f>
        <v>1099500.75425</v>
      </c>
      <c r="N19" s="9">
        <f t="shared" si="15"/>
        <v>152457.4942299996</v>
      </c>
      <c r="O19" s="9">
        <f t="shared" si="16"/>
        <v>13.866065452041923</v>
      </c>
      <c r="Q19" s="9">
        <f>Q13-Q14-Q15-Q16-Q17-Q18</f>
        <v>2824657.0441900003</v>
      </c>
      <c r="R19" s="9">
        <f>R13-R14-R15-R16-R17-R18</f>
        <v>2620159.2112099994</v>
      </c>
      <c r="S19" s="9">
        <f t="shared" si="4"/>
        <v>204497.83298000088</v>
      </c>
      <c r="T19" s="9">
        <f t="shared" si="5"/>
        <v>7.8047865223259851</v>
      </c>
      <c r="V19" s="9">
        <f>V13-V14-V15-V16-V17-V18</f>
        <v>1713511.8950599998</v>
      </c>
      <c r="W19" s="9">
        <f>W13-W14-W15-W16-W17-W18</f>
        <v>1516292.7746800003</v>
      </c>
      <c r="X19" s="9">
        <f t="shared" si="6"/>
        <v>197219.12037999951</v>
      </c>
      <c r="Y19" s="9">
        <f t="shared" si="7"/>
        <v>13.006664918100716</v>
      </c>
      <c r="AA19" s="9">
        <f>AA13-AA14-AA15-AA16-AA17-AA18</f>
        <v>1046709.6106100002</v>
      </c>
      <c r="AB19" s="9">
        <f>AB13-AB14-AB15-AB16-AB17-AB18</f>
        <v>394109.02800999995</v>
      </c>
      <c r="AC19" s="9">
        <f t="shared" si="8"/>
        <v>652600.58260000031</v>
      </c>
      <c r="AD19" s="9">
        <f t="shared" si="9"/>
        <v>165.58884375098393</v>
      </c>
      <c r="AF19" s="9">
        <f>AF13-AF14-AF15-AF16-AF17-AF18</f>
        <v>331937.44129999995</v>
      </c>
      <c r="AG19" s="9">
        <f>AG13-AG14-AG15-AG16-AG17-AG18</f>
        <v>304976.38929999998</v>
      </c>
      <c r="AH19" s="9">
        <f t="shared" si="10"/>
        <v>26961.051999999967</v>
      </c>
      <c r="AI19" s="9">
        <f t="shared" si="11"/>
        <v>8.8403735324831487</v>
      </c>
      <c r="AK19" s="9">
        <f>AK13-AK14-AK15-AK16-AK17-AK18</f>
        <v>9157193.8412600011</v>
      </c>
      <c r="AL19" s="9">
        <f>AL13-AL14-AL15-AL16-AL17-AL18</f>
        <v>7556352.3934399998</v>
      </c>
      <c r="AM19" s="9">
        <f t="shared" si="13"/>
        <v>1600841.4478200013</v>
      </c>
      <c r="AN19" s="9">
        <f t="shared" si="14"/>
        <v>21.185373106867829</v>
      </c>
    </row>
    <row r="20" spans="1:40" s="9" customFormat="1" ht="15" customHeight="1" x14ac:dyDescent="0.25">
      <c r="A20" s="11" t="s">
        <v>28</v>
      </c>
      <c r="B20" s="9">
        <v>9918.7774600000012</v>
      </c>
      <c r="C20" s="9">
        <v>5008.3697099999999</v>
      </c>
      <c r="D20" s="9">
        <f t="shared" si="0"/>
        <v>4910.4077500000012</v>
      </c>
      <c r="E20" s="9">
        <f t="shared" si="1"/>
        <v>98.044034972010905</v>
      </c>
      <c r="G20" s="9">
        <v>67934.481639999998</v>
      </c>
      <c r="H20" s="9">
        <v>63724.723270000002</v>
      </c>
      <c r="I20" s="9">
        <f t="shared" si="2"/>
        <v>4209.7583699999959</v>
      </c>
      <c r="J20" s="9">
        <f t="shared" si="3"/>
        <v>6.6061618693318742</v>
      </c>
      <c r="L20" s="9">
        <v>62459.280239999993</v>
      </c>
      <c r="M20" s="9">
        <v>48321.841849999997</v>
      </c>
      <c r="N20" s="9">
        <f t="shared" si="15"/>
        <v>14137.438389999996</v>
      </c>
      <c r="O20" s="9">
        <f t="shared" si="16"/>
        <v>29.256828483246228</v>
      </c>
      <c r="Q20" s="9">
        <v>70711.361430000004</v>
      </c>
      <c r="R20" s="9">
        <v>72829.591660000006</v>
      </c>
      <c r="S20" s="9">
        <f t="shared" si="4"/>
        <v>-2118.230230000001</v>
      </c>
      <c r="T20" s="9">
        <f t="shared" si="5"/>
        <v>-2.908474675910329</v>
      </c>
      <c r="V20" s="9">
        <v>23438.401330000001</v>
      </c>
      <c r="W20" s="9">
        <v>31561.540370000002</v>
      </c>
      <c r="X20" s="9">
        <f t="shared" si="6"/>
        <v>-8123.1390400000018</v>
      </c>
      <c r="Y20" s="9">
        <f t="shared" si="7"/>
        <v>-25.737460671346824</v>
      </c>
      <c r="AA20" s="9">
        <v>56437.308720000001</v>
      </c>
      <c r="AB20" s="9">
        <v>25135.280930000001</v>
      </c>
      <c r="AC20" s="9">
        <f t="shared" si="8"/>
        <v>31302.02779</v>
      </c>
      <c r="AD20" s="9">
        <f t="shared" si="9"/>
        <v>124.5342269186247</v>
      </c>
      <c r="AF20" s="9">
        <v>10993.375940000002</v>
      </c>
      <c r="AG20" s="9">
        <v>11029.784810000001</v>
      </c>
      <c r="AH20" s="9">
        <f t="shared" si="10"/>
        <v>-36.408869999999297</v>
      </c>
      <c r="AI20" s="9">
        <f t="shared" si="11"/>
        <v>-0.33009592324040354</v>
      </c>
      <c r="AK20" s="9">
        <f>B20+G20+L20+Q20+V20+AA20+AF20</f>
        <v>301892.98676</v>
      </c>
      <c r="AL20" s="9">
        <f>C20+H20+M20+R20+W20+AB20+AG20</f>
        <v>257611.13260000004</v>
      </c>
      <c r="AM20" s="9">
        <f t="shared" si="13"/>
        <v>44281.854159999959</v>
      </c>
      <c r="AN20" s="9">
        <f t="shared" si="14"/>
        <v>17.189417907943298</v>
      </c>
    </row>
    <row r="21" spans="1:40" s="9" customFormat="1" ht="15" customHeight="1" x14ac:dyDescent="0.25">
      <c r="A21" s="11" t="s">
        <v>29</v>
      </c>
      <c r="B21" s="9">
        <f>B19+B20</f>
        <v>57252.908559999996</v>
      </c>
      <c r="C21" s="9">
        <f>C19+C20</f>
        <v>50435.885349999997</v>
      </c>
      <c r="D21" s="9">
        <f>D19+D20</f>
        <v>6817.0232099999948</v>
      </c>
      <c r="E21" s="9">
        <f t="shared" si="1"/>
        <v>13.516216009084086</v>
      </c>
      <c r="G21" s="9">
        <f>G19+G20</f>
        <v>2009019.9521599999</v>
      </c>
      <c r="H21" s="9">
        <f>H19+H20</f>
        <v>1639611.44362</v>
      </c>
      <c r="I21" s="9">
        <f t="shared" si="2"/>
        <v>369408.50853999984</v>
      </c>
      <c r="J21" s="9">
        <f t="shared" si="3"/>
        <v>22.530247027576539</v>
      </c>
      <c r="L21" s="9">
        <f>L19+L20</f>
        <v>1314417.5287199996</v>
      </c>
      <c r="M21" s="9">
        <f>M19+M20</f>
        <v>1147822.5961</v>
      </c>
      <c r="N21" s="9">
        <f t="shared" si="15"/>
        <v>166594.93261999963</v>
      </c>
      <c r="O21" s="9">
        <f t="shared" si="16"/>
        <v>14.51399660418304</v>
      </c>
      <c r="Q21" s="9">
        <f>Q19+Q20</f>
        <v>2895368.4056200003</v>
      </c>
      <c r="R21" s="9">
        <f>R19+R20</f>
        <v>2692988.8028699993</v>
      </c>
      <c r="S21" s="9">
        <f t="shared" si="4"/>
        <v>202379.60275000101</v>
      </c>
      <c r="T21" s="9">
        <f t="shared" si="5"/>
        <v>7.5150554853521472</v>
      </c>
      <c r="V21" s="9">
        <f>V19+V20</f>
        <v>1736950.2963899998</v>
      </c>
      <c r="W21" s="9">
        <f>W19+W20</f>
        <v>1547854.3150500003</v>
      </c>
      <c r="X21" s="9">
        <f t="shared" si="6"/>
        <v>189095.98133999947</v>
      </c>
      <c r="Y21" s="9">
        <f t="shared" si="7"/>
        <v>12.216652400771395</v>
      </c>
      <c r="AA21" s="9">
        <f>AA19+AA20</f>
        <v>1103146.9193300002</v>
      </c>
      <c r="AB21" s="9">
        <f>AB19+AB20</f>
        <v>419244.30893999996</v>
      </c>
      <c r="AC21" s="9">
        <f t="shared" si="8"/>
        <v>683902.61039000028</v>
      </c>
      <c r="AD21" s="9">
        <f t="shared" si="9"/>
        <v>163.12746429859749</v>
      </c>
      <c r="AF21" s="9">
        <f>AF19+AF20</f>
        <v>342930.81723999995</v>
      </c>
      <c r="AG21" s="9">
        <f>AG19+AG20</f>
        <v>316006.17410999996</v>
      </c>
      <c r="AH21" s="9">
        <f t="shared" si="10"/>
        <v>26924.643129999982</v>
      </c>
      <c r="AI21" s="9">
        <f t="shared" si="11"/>
        <v>8.5202902145284245</v>
      </c>
      <c r="AK21" s="9">
        <f>AK19+AK20</f>
        <v>9459086.8280200008</v>
      </c>
      <c r="AL21" s="9">
        <f>AL19+AL20</f>
        <v>7813963.5260399999</v>
      </c>
      <c r="AM21" s="9">
        <f t="shared" si="13"/>
        <v>1645123.3019800009</v>
      </c>
      <c r="AN21" s="9">
        <f t="shared" si="14"/>
        <v>21.053634259971073</v>
      </c>
    </row>
    <row r="22" spans="1:40" s="9" customFormat="1" ht="15" customHeight="1" x14ac:dyDescent="0.25">
      <c r="A22" s="11" t="s">
        <v>30</v>
      </c>
      <c r="B22" s="9">
        <v>38413.496490000005</v>
      </c>
      <c r="C22" s="9">
        <v>36629.019000000008</v>
      </c>
      <c r="D22" s="9">
        <f t="shared" si="0"/>
        <v>1784.4774899999975</v>
      </c>
      <c r="E22" s="9">
        <f t="shared" si="1"/>
        <v>4.8717588914952845</v>
      </c>
      <c r="G22" s="9">
        <v>1689400.2935600001</v>
      </c>
      <c r="H22" s="9">
        <v>1480778.8703399999</v>
      </c>
      <c r="I22" s="9">
        <f t="shared" si="2"/>
        <v>208621.42322000023</v>
      </c>
      <c r="J22" s="9">
        <f t="shared" si="3"/>
        <v>14.088627775469199</v>
      </c>
      <c r="L22" s="9">
        <v>1102915.8414500002</v>
      </c>
      <c r="M22" s="9">
        <v>960368.55245999992</v>
      </c>
      <c r="N22" s="9">
        <f t="shared" si="15"/>
        <v>142547.28899000026</v>
      </c>
      <c r="O22" s="9">
        <f t="shared" si="16"/>
        <v>14.842977586559142</v>
      </c>
      <c r="Q22" s="9">
        <v>2527494.8311999999</v>
      </c>
      <c r="R22" s="9">
        <v>2549533.6693600002</v>
      </c>
      <c r="S22" s="9">
        <f t="shared" si="4"/>
        <v>-22038.838160000276</v>
      </c>
      <c r="T22" s="9">
        <f t="shared" si="5"/>
        <v>-0.86442624488001374</v>
      </c>
      <c r="V22" s="9">
        <v>1515890.9244599999</v>
      </c>
      <c r="W22" s="9">
        <v>1460557.1843699999</v>
      </c>
      <c r="X22" s="9">
        <f t="shared" si="6"/>
        <v>55333.740089999977</v>
      </c>
      <c r="Y22" s="9">
        <f t="shared" si="7"/>
        <v>3.788536366952846</v>
      </c>
      <c r="AA22" s="9">
        <v>931435.67877999996</v>
      </c>
      <c r="AB22" s="9">
        <v>352056.91752999998</v>
      </c>
      <c r="AC22" s="9">
        <f t="shared" si="8"/>
        <v>579378.76124999998</v>
      </c>
      <c r="AD22" s="9">
        <f t="shared" si="9"/>
        <v>164.56962848929933</v>
      </c>
      <c r="AF22" s="9">
        <v>265021.81721999997</v>
      </c>
      <c r="AG22" s="9">
        <v>261610.51172000001</v>
      </c>
      <c r="AH22" s="9">
        <f t="shared" si="10"/>
        <v>3411.3054999999586</v>
      </c>
      <c r="AI22" s="9">
        <f t="shared" si="11"/>
        <v>1.3039634675119844</v>
      </c>
      <c r="AK22" s="9">
        <f>B22+G22+L22+Q22+V22+AA22+AF22</f>
        <v>8070572.8831599988</v>
      </c>
      <c r="AL22" s="9">
        <f>C22+H22+M22+R22+W22+AB22+AG22</f>
        <v>7101534.7247800007</v>
      </c>
      <c r="AM22" s="9">
        <f t="shared" si="13"/>
        <v>969038.15837999806</v>
      </c>
      <c r="AN22" s="9">
        <f t="shared" si="14"/>
        <v>13.645475181563912</v>
      </c>
    </row>
    <row r="23" spans="1:40" s="9" customFormat="1" ht="15" customHeight="1" x14ac:dyDescent="0.25">
      <c r="A23" s="11" t="s">
        <v>31</v>
      </c>
      <c r="B23" s="9">
        <f>ROUND((B22/B21*100),0)</f>
        <v>67</v>
      </c>
      <c r="C23" s="9">
        <f>ROUND((C22/C21*100),0)</f>
        <v>73</v>
      </c>
      <c r="D23" s="11" t="s">
        <v>32</v>
      </c>
      <c r="E23" s="9">
        <f>B23-C23</f>
        <v>-6</v>
      </c>
      <c r="G23" s="9">
        <f>ROUND((G22/G21*100),0)</f>
        <v>84</v>
      </c>
      <c r="H23" s="9">
        <f>ROUND((H22/H21*100),0)</f>
        <v>90</v>
      </c>
      <c r="I23" s="11" t="s">
        <v>32</v>
      </c>
      <c r="J23" s="9">
        <f>G23-H23</f>
        <v>-6</v>
      </c>
      <c r="L23" s="9">
        <f>ROUND((L22/L21*100),0)</f>
        <v>84</v>
      </c>
      <c r="M23" s="9">
        <f>ROUND((M22/M21*100),0)</f>
        <v>84</v>
      </c>
      <c r="N23" s="11" t="s">
        <v>32</v>
      </c>
      <c r="O23" s="9">
        <f>L23-M23</f>
        <v>0</v>
      </c>
      <c r="Q23" s="9">
        <f>ROUND((Q22/Q21*100),0)</f>
        <v>87</v>
      </c>
      <c r="R23" s="9">
        <f>ROUND((R22/R21*100),0)</f>
        <v>95</v>
      </c>
      <c r="S23" s="11" t="s">
        <v>32</v>
      </c>
      <c r="T23" s="9">
        <f>Q23-R23</f>
        <v>-8</v>
      </c>
      <c r="V23" s="9">
        <f>ROUND((V22/V21*100),0)</f>
        <v>87</v>
      </c>
      <c r="W23" s="9">
        <f>ROUND((W22/W21*100),0)</f>
        <v>94</v>
      </c>
      <c r="X23" s="11" t="s">
        <v>32</v>
      </c>
      <c r="Y23" s="9">
        <f>V23-W23</f>
        <v>-7</v>
      </c>
      <c r="AA23" s="9">
        <f>ROUND((AA22/AA21*100),0)</f>
        <v>84</v>
      </c>
      <c r="AB23" s="9">
        <f>ROUND((AB22/AB21*100),0)</f>
        <v>84</v>
      </c>
      <c r="AC23" s="11" t="s">
        <v>32</v>
      </c>
      <c r="AD23" s="9">
        <f>AA23-AB23</f>
        <v>0</v>
      </c>
      <c r="AF23" s="9">
        <f>ROUND((AF22/AF21*100),0)</f>
        <v>77</v>
      </c>
      <c r="AG23" s="9">
        <f>ROUND((AG22/AG21*100),0)</f>
        <v>83</v>
      </c>
      <c r="AH23" s="11" t="s">
        <v>32</v>
      </c>
      <c r="AI23" s="9">
        <f>AF23-AG23</f>
        <v>-6</v>
      </c>
      <c r="AK23" s="9">
        <f>ROUND((AK22/AK21*100),0)</f>
        <v>85</v>
      </c>
      <c r="AL23" s="9">
        <f>ROUND((AL22/AL21*100),0)</f>
        <v>91</v>
      </c>
      <c r="AM23" s="11" t="s">
        <v>32</v>
      </c>
      <c r="AN23" s="9">
        <f>AK23-AL23</f>
        <v>-6</v>
      </c>
    </row>
    <row r="24" spans="1:40" s="9" customFormat="1" ht="15" customHeight="1" x14ac:dyDescent="0.25">
      <c r="A24" s="11" t="s">
        <v>33</v>
      </c>
      <c r="B24" s="9">
        <v>14593.92419</v>
      </c>
      <c r="C24" s="9">
        <v>12504.37299</v>
      </c>
      <c r="D24" s="9">
        <f>B24-C24</f>
        <v>2089.5511999999999</v>
      </c>
      <c r="E24" s="9">
        <f>D24/C24*100</f>
        <v>16.710563589802195</v>
      </c>
      <c r="G24" s="9">
        <v>162104.96149000002</v>
      </c>
      <c r="H24" s="9">
        <v>155556.19270999997</v>
      </c>
      <c r="I24" s="9">
        <f>G24-H24</f>
        <v>6548.7687800000422</v>
      </c>
      <c r="J24" s="9">
        <f>I24/H24*100</f>
        <v>4.2099055433998505</v>
      </c>
      <c r="L24" s="9">
        <v>140791.04660999999</v>
      </c>
      <c r="M24" s="9">
        <v>120007.45792</v>
      </c>
      <c r="N24" s="9">
        <f>L24-M24</f>
        <v>20783.58868999999</v>
      </c>
      <c r="O24" s="9">
        <f>N24/M24*100</f>
        <v>17.318580903409231</v>
      </c>
      <c r="Q24" s="9">
        <v>194582.72175999999</v>
      </c>
      <c r="R24" s="9">
        <v>174602.07377999998</v>
      </c>
      <c r="S24" s="9">
        <f>Q24-R24</f>
        <v>19980.647980000009</v>
      </c>
      <c r="T24" s="9">
        <f>S24/R24*100</f>
        <v>11.44353417312545</v>
      </c>
      <c r="V24" s="9">
        <v>202890.79415</v>
      </c>
      <c r="W24" s="9">
        <v>172894.12261000002</v>
      </c>
      <c r="X24" s="9">
        <f>V24-W24</f>
        <v>29996.671539999981</v>
      </c>
      <c r="Y24" s="9">
        <f>X24/W24*100</f>
        <v>17.349734674129984</v>
      </c>
      <c r="AA24" s="9">
        <v>140191.22347</v>
      </c>
      <c r="AB24" s="9">
        <v>48341.789730000004</v>
      </c>
      <c r="AC24" s="9">
        <f>AA24-AB24</f>
        <v>91849.433739999993</v>
      </c>
      <c r="AD24" s="9">
        <f>AC24/AB24*100</f>
        <v>190.0000687872753</v>
      </c>
      <c r="AF24" s="9">
        <v>54202.110209999999</v>
      </c>
      <c r="AG24" s="9">
        <v>44684.588629999998</v>
      </c>
      <c r="AH24" s="9">
        <f>AF24-AG24</f>
        <v>9517.5215800000005</v>
      </c>
      <c r="AI24" s="9">
        <f>AH24/AG24*100</f>
        <v>21.299338030853438</v>
      </c>
      <c r="AK24" s="9">
        <f>B24+G24+L24+Q24+V24+AA24+AF24</f>
        <v>909356.78187999991</v>
      </c>
      <c r="AL24" s="9">
        <f>C24+H24+M24+R24+W24+AB24+AG24</f>
        <v>728590.59837000002</v>
      </c>
      <c r="AM24" s="9">
        <f>AK24-AL24</f>
        <v>180766.18350999989</v>
      </c>
      <c r="AN24" s="9">
        <f>AM24/AL24*100</f>
        <v>24.810391997153033</v>
      </c>
    </row>
    <row r="25" spans="1:40" s="9" customFormat="1" ht="15" customHeight="1" x14ac:dyDescent="0.25">
      <c r="A25" s="11" t="s">
        <v>31</v>
      </c>
      <c r="B25" s="9">
        <f>ROUND((B24/B21*100),0)</f>
        <v>25</v>
      </c>
      <c r="C25" s="9">
        <f>ROUND((C24/C21*100),0)</f>
        <v>25</v>
      </c>
      <c r="E25" s="9">
        <f>B25-C25</f>
        <v>0</v>
      </c>
      <c r="G25" s="9">
        <f>ROUND((G24/G21*100),0)</f>
        <v>8</v>
      </c>
      <c r="H25" s="9">
        <f>ROUND((H24/H21*100),0)</f>
        <v>9</v>
      </c>
      <c r="J25" s="9">
        <f>G25-H25</f>
        <v>-1</v>
      </c>
      <c r="L25" s="9">
        <f>ROUND((L24/L21*100),0)</f>
        <v>11</v>
      </c>
      <c r="M25" s="9">
        <f>ROUND((M24/M21*100),0)</f>
        <v>10</v>
      </c>
      <c r="O25" s="9">
        <f>L25-M25</f>
        <v>1</v>
      </c>
      <c r="Q25" s="9">
        <f>ROUND((Q24/Q21*100),0)</f>
        <v>7</v>
      </c>
      <c r="R25" s="9">
        <f>ROUND((R24/R21*100),0)</f>
        <v>6</v>
      </c>
      <c r="T25" s="9">
        <f>Q25-R25</f>
        <v>1</v>
      </c>
      <c r="V25" s="9">
        <f>ROUND((V24/V21*100),0)</f>
        <v>12</v>
      </c>
      <c r="W25" s="9">
        <f>ROUND((W24/W21*100),0)</f>
        <v>11</v>
      </c>
      <c r="Y25" s="9">
        <f>V25-W25</f>
        <v>1</v>
      </c>
      <c r="AA25" s="9">
        <f>ROUND((AA24/AA21*100),0)</f>
        <v>13</v>
      </c>
      <c r="AB25" s="9">
        <f>ROUND((AB24/AB21*100),0)</f>
        <v>12</v>
      </c>
      <c r="AD25" s="9">
        <f>AA25-AB25</f>
        <v>1</v>
      </c>
      <c r="AF25" s="9">
        <f>ROUND((AF24/AF21*100),0)</f>
        <v>16</v>
      </c>
      <c r="AG25" s="9">
        <f>ROUND((AG24/AG21*100),0)</f>
        <v>14</v>
      </c>
      <c r="AI25" s="9">
        <f>AF25-AG25</f>
        <v>2</v>
      </c>
      <c r="AK25" s="9">
        <f>ROUND((AK24/AK21*100),0)</f>
        <v>10</v>
      </c>
      <c r="AL25" s="9">
        <f>ROUND((AL24/AL21*100),0)</f>
        <v>9</v>
      </c>
      <c r="AN25" s="9">
        <f>AK25-AL25</f>
        <v>1</v>
      </c>
    </row>
    <row r="26" spans="1:40" s="9" customFormat="1" ht="15" customHeight="1" x14ac:dyDescent="0.25">
      <c r="A26" s="11" t="s">
        <v>34</v>
      </c>
      <c r="B26" s="9">
        <f>B21-B22-B24</f>
        <v>4245.4878799999915</v>
      </c>
      <c r="C26" s="9">
        <f>C21-C22-C24</f>
        <v>1302.4933599999895</v>
      </c>
      <c r="D26" s="9">
        <f>B26-C26</f>
        <v>2942.994520000002</v>
      </c>
      <c r="E26" s="9">
        <f>D26/C26*100</f>
        <v>225.95082711208798</v>
      </c>
      <c r="G26" s="9">
        <f>G21-G22-G24</f>
        <v>157514.69710999972</v>
      </c>
      <c r="H26" s="9">
        <f>H21-H22-H24</f>
        <v>3276.380570000154</v>
      </c>
      <c r="I26" s="9">
        <f>G26-H26</f>
        <v>154238.31653999956</v>
      </c>
      <c r="J26" s="9">
        <f>I26/H26*100</f>
        <v>4707.5824448559806</v>
      </c>
      <c r="L26" s="9">
        <f>L21-L22-L24</f>
        <v>70710.640659999422</v>
      </c>
      <c r="M26" s="9">
        <f>M21-M22-M24</f>
        <v>67446.585720000046</v>
      </c>
      <c r="N26" s="9">
        <f>L26-M26</f>
        <v>3264.0549399993761</v>
      </c>
      <c r="O26" s="9">
        <f>N26/M26*100</f>
        <v>4.8394665277051683</v>
      </c>
      <c r="Q26" s="9">
        <f>Q21-Q22-Q24</f>
        <v>173290.85266000044</v>
      </c>
      <c r="R26" s="9">
        <f>R21-R22-R24</f>
        <v>-31146.940270000836</v>
      </c>
      <c r="S26" s="9">
        <f>Q26-R26</f>
        <v>204437.79293000128</v>
      </c>
      <c r="T26" s="9">
        <f>S26/R26*100</f>
        <v>-656.36557285501794</v>
      </c>
      <c r="V26" s="9">
        <f>V21-V22-V24</f>
        <v>18168.577779999905</v>
      </c>
      <c r="W26" s="9">
        <f>W21-W22-W24</f>
        <v>-85596.991929999611</v>
      </c>
      <c r="X26" s="9">
        <f>V26-W26</f>
        <v>103765.56970999952</v>
      </c>
      <c r="Y26" s="9">
        <f>X26/W26*100</f>
        <v>-121.2257199351795</v>
      </c>
      <c r="AA26" s="9">
        <f>AA21-AA22-AA24</f>
        <v>31520.017080000223</v>
      </c>
      <c r="AB26" s="9">
        <f>AB21-AB22-AB24</f>
        <v>18845.601679999978</v>
      </c>
      <c r="AC26" s="9">
        <f>AA26-AB26</f>
        <v>12674.415400000245</v>
      </c>
      <c r="AD26" s="9">
        <f>AC26/AB26*100</f>
        <v>67.253970529638508</v>
      </c>
      <c r="AF26" s="9">
        <f>AF21-AF22-AF24</f>
        <v>23706.889809999979</v>
      </c>
      <c r="AG26" s="9">
        <f>AG21-AG22-AG24</f>
        <v>9711.0737599999557</v>
      </c>
      <c r="AH26" s="9">
        <f>AF26-AG26</f>
        <v>13995.816050000023</v>
      </c>
      <c r="AI26" s="9">
        <f>AH26/AG26*100</f>
        <v>144.1222298984998</v>
      </c>
      <c r="AK26" s="9">
        <f>AK21-AK22-AK24</f>
        <v>479157.16298000212</v>
      </c>
      <c r="AL26" s="9">
        <f>AL21-AL22-AL24</f>
        <v>-16161.797110000858</v>
      </c>
      <c r="AM26" s="9">
        <f>AK26-AL26</f>
        <v>495318.96009000298</v>
      </c>
      <c r="AN26" s="9">
        <f>AM26/AL26*100</f>
        <v>-3064.7517520406286</v>
      </c>
    </row>
    <row r="27" spans="1:40" s="9" customFormat="1" ht="15" customHeight="1" x14ac:dyDescent="0.25">
      <c r="A27" s="11" t="s">
        <v>35</v>
      </c>
      <c r="B27" s="9">
        <v>7027.8894799999998</v>
      </c>
      <c r="C27" s="9">
        <v>4469.3336600000002</v>
      </c>
      <c r="D27" s="9">
        <f>B27-C27</f>
        <v>2558.5558199999996</v>
      </c>
      <c r="E27" s="9">
        <f>D27/C27*100</f>
        <v>57.246918995973985</v>
      </c>
      <c r="G27" s="9">
        <v>34380.275089999996</v>
      </c>
      <c r="H27" s="9">
        <v>34327.7503</v>
      </c>
      <c r="I27" s="9">
        <f>G27-H27</f>
        <v>52.524789999995846</v>
      </c>
      <c r="J27" s="9">
        <f>I27/H27*100</f>
        <v>0.15300970655218221</v>
      </c>
      <c r="L27" s="9">
        <v>39636.083509999997</v>
      </c>
      <c r="M27" s="9">
        <v>38249.751029999999</v>
      </c>
      <c r="N27" s="9">
        <f>L27-M27</f>
        <v>1386.3324799999973</v>
      </c>
      <c r="O27" s="9">
        <f>N27/M27*100</f>
        <v>3.6244222319582438</v>
      </c>
      <c r="Q27" s="9">
        <v>36629.102780000001</v>
      </c>
      <c r="R27" s="9">
        <v>33677.58857</v>
      </c>
      <c r="S27" s="9">
        <f>Q27-R27</f>
        <v>2951.5142100000012</v>
      </c>
      <c r="T27" s="9">
        <f>S27/R27*100</f>
        <v>8.7640307258495653</v>
      </c>
      <c r="V27" s="9">
        <v>21816.88034</v>
      </c>
      <c r="W27" s="9">
        <v>22820.212449999999</v>
      </c>
      <c r="X27" s="9">
        <f>V27-W27</f>
        <v>-1003.3321099999994</v>
      </c>
      <c r="Y27" s="9">
        <f>X27/W27*100</f>
        <v>-4.3966817232676529</v>
      </c>
      <c r="AA27" s="9">
        <v>32507.584010000002</v>
      </c>
      <c r="AB27" s="9">
        <v>16857.82</v>
      </c>
      <c r="AC27" s="9">
        <f>AA27-AB27</f>
        <v>15649.764010000003</v>
      </c>
      <c r="AD27" s="9">
        <f>AC27/AB27*100</f>
        <v>92.833854021457114</v>
      </c>
      <c r="AF27" s="9">
        <v>6067.55656</v>
      </c>
      <c r="AG27" s="9">
        <v>6866.8521400000009</v>
      </c>
      <c r="AH27" s="9">
        <f>AF27-AG27</f>
        <v>-799.29558000000088</v>
      </c>
      <c r="AI27" s="9">
        <f>AH27/AG27*100</f>
        <v>-11.639912491256887</v>
      </c>
      <c r="AK27" s="9">
        <f>B27+G27+L27+Q27+V27+AA27+AF27</f>
        <v>178065.37176999997</v>
      </c>
      <c r="AL27" s="9">
        <f>C27+H27+M27+R27+W27+AB27+AG27</f>
        <v>157269.30815</v>
      </c>
      <c r="AM27" s="9">
        <f>AK27-AL27</f>
        <v>20796.063619999972</v>
      </c>
      <c r="AN27" s="9">
        <f>AM27/AL27*100</f>
        <v>13.22321809934151</v>
      </c>
    </row>
    <row r="28" spans="1:40" s="9" customFormat="1" ht="15" customHeight="1" x14ac:dyDescent="0.25">
      <c r="A28" s="11" t="s">
        <v>36</v>
      </c>
      <c r="B28" s="9">
        <v>752.39100000000008</v>
      </c>
      <c r="C28" s="9">
        <v>493.08764000000002</v>
      </c>
      <c r="D28" s="9">
        <f>B28-C28</f>
        <v>259.30336000000005</v>
      </c>
      <c r="E28" s="9">
        <f>D28/C28*100</f>
        <v>52.587681978806046</v>
      </c>
      <c r="G28" s="9">
        <v>8421.0942699999996</v>
      </c>
      <c r="H28" s="9">
        <v>5441.04853</v>
      </c>
      <c r="I28" s="9">
        <f>G28-H28</f>
        <v>2980.0457399999996</v>
      </c>
      <c r="J28" s="9">
        <f>I28/H28*100</f>
        <v>54.769696016660951</v>
      </c>
      <c r="L28" s="9">
        <v>9817.9549699999989</v>
      </c>
      <c r="M28" s="9">
        <v>10437.147519999999</v>
      </c>
      <c r="N28" s="9">
        <f>L28-M28</f>
        <v>-619.19254999999976</v>
      </c>
      <c r="O28" s="9">
        <f>N28/M28*100</f>
        <v>-5.9325840591357268</v>
      </c>
      <c r="Q28" s="9">
        <v>6258.4748199999995</v>
      </c>
      <c r="R28" s="9">
        <v>8973.0469100000009</v>
      </c>
      <c r="S28" s="9">
        <f>Q28-R28</f>
        <v>-2714.5720900000015</v>
      </c>
      <c r="T28" s="9">
        <f>S28/R28*100</f>
        <v>-30.25251196418855</v>
      </c>
      <c r="V28" s="9">
        <v>1368.819</v>
      </c>
      <c r="W28" s="9">
        <v>2995.7881699999998</v>
      </c>
      <c r="X28" s="9">
        <f>V28-W28</f>
        <v>-1626.9691699999998</v>
      </c>
      <c r="Y28" s="9">
        <f>X28/W28*100</f>
        <v>-54.308551795903512</v>
      </c>
      <c r="AA28" s="9">
        <v>645.12400000000002</v>
      </c>
      <c r="AB28" s="9">
        <v>332.5</v>
      </c>
      <c r="AC28" s="9">
        <f>AA28-AB28</f>
        <v>312.62400000000002</v>
      </c>
      <c r="AD28" s="9">
        <f>AC28/AB28*100</f>
        <v>94.02225563909775</v>
      </c>
      <c r="AF28" s="9">
        <v>0</v>
      </c>
      <c r="AG28" s="9">
        <v>68.006489999999999</v>
      </c>
      <c r="AH28" s="9">
        <f>AF28-AG28</f>
        <v>-68.006489999999999</v>
      </c>
      <c r="AI28" s="9">
        <f>AF28-AG28</f>
        <v>-68.006489999999999</v>
      </c>
      <c r="AK28" s="9">
        <f>B28+G28+L28+Q28+V28+AA28+AF28</f>
        <v>27263.858059999995</v>
      </c>
      <c r="AL28" s="9">
        <f>C28+H28+M28+R28+W28+AB28+AG28</f>
        <v>28740.625260000001</v>
      </c>
      <c r="AM28" s="9">
        <f>AK28-AL28</f>
        <v>-1476.7672000000057</v>
      </c>
      <c r="AN28" s="9">
        <f>AM28/AL28*100</f>
        <v>-5.1382570373488301</v>
      </c>
    </row>
    <row r="29" spans="1:40" s="9" customFormat="1" ht="15" customHeight="1" x14ac:dyDescent="0.25">
      <c r="A29" s="11" t="s">
        <v>37</v>
      </c>
      <c r="B29" s="9">
        <f>B26-B27-B28</f>
        <v>-3534.7926000000084</v>
      </c>
      <c r="C29" s="9">
        <f>C26-C27-C28</f>
        <v>-3659.9279400000109</v>
      </c>
      <c r="D29" s="9">
        <f>B29-C29</f>
        <v>125.13534000000254</v>
      </c>
      <c r="E29" s="9">
        <f>D29/C29*100</f>
        <v>-3.4190656770144545</v>
      </c>
      <c r="G29" s="9">
        <f>G26-G27-G28</f>
        <v>114713.32774999972</v>
      </c>
      <c r="H29" s="9">
        <f>H26-H27-H28</f>
        <v>-36492.418259999846</v>
      </c>
      <c r="I29" s="9">
        <f>G29-H29</f>
        <v>151205.74600999957</v>
      </c>
      <c r="J29" s="9">
        <f>I29/H29*100</f>
        <v>-414.34838582824085</v>
      </c>
      <c r="L29" s="9">
        <f>L26-L27-L28</f>
        <v>21256.602179999427</v>
      </c>
      <c r="M29" s="9">
        <f>M26-M27-M28</f>
        <v>18759.687170000048</v>
      </c>
      <c r="N29" s="9">
        <f>L29-M29</f>
        <v>2496.9150099993785</v>
      </c>
      <c r="O29" s="9">
        <f>N29/M29*100</f>
        <v>13.310003452468935</v>
      </c>
      <c r="Q29" s="9">
        <f>Q26-Q27-Q28</f>
        <v>130403.27506000042</v>
      </c>
      <c r="R29" s="9">
        <f>R26-R27-R28</f>
        <v>-73797.575750000833</v>
      </c>
      <c r="S29" s="9">
        <f>Q29-R29</f>
        <v>204200.85081000126</v>
      </c>
      <c r="T29" s="9">
        <f>S29/R29*100</f>
        <v>-276.70400922349938</v>
      </c>
      <c r="V29" s="9">
        <f>V26-V27-V28</f>
        <v>-5017.1215600000942</v>
      </c>
      <c r="W29" s="9">
        <f>W26-W27-W28</f>
        <v>-111412.9925499996</v>
      </c>
      <c r="X29" s="9">
        <f>V29-W29</f>
        <v>106395.8709899995</v>
      </c>
      <c r="Y29" s="9">
        <f>X29/W29*100</f>
        <v>-95.496825419397538</v>
      </c>
      <c r="AA29" s="9">
        <f>AA26-AA27-AA28</f>
        <v>-1632.690929999779</v>
      </c>
      <c r="AB29" s="9">
        <f>AB26-AB27-AB28</f>
        <v>1655.2816799999782</v>
      </c>
      <c r="AC29" s="9">
        <f>AA29-AB29</f>
        <v>-3287.972609999757</v>
      </c>
      <c r="AD29" s="9">
        <f>AC29/AB29*100</f>
        <v>-198.63523228262878</v>
      </c>
      <c r="AF29" s="9">
        <f>AF26-AF27-AF28</f>
        <v>17639.333249999978</v>
      </c>
      <c r="AG29" s="9">
        <f>AG26-AG27-AG28</f>
        <v>2776.2151299999546</v>
      </c>
      <c r="AH29" s="9">
        <f>AF29-AG29</f>
        <v>14863.118120000023</v>
      </c>
      <c r="AI29" s="9">
        <f>AH29/AG29*100</f>
        <v>535.37342835532581</v>
      </c>
      <c r="AK29" s="9">
        <f>AK26-AK27-AK28</f>
        <v>273827.93315000215</v>
      </c>
      <c r="AL29" s="9">
        <f>AL26-AL27-AL28</f>
        <v>-202171.73052000086</v>
      </c>
      <c r="AM29" s="9">
        <f>AK29-AL29</f>
        <v>475999.66367000301</v>
      </c>
      <c r="AN29" s="9">
        <f>AM29/AL29*100</f>
        <v>-235.44323553332416</v>
      </c>
    </row>
    <row r="30" spans="1:40" s="9" customFormat="1" ht="15" customHeight="1" x14ac:dyDescent="0.25">
      <c r="A30" s="11" t="s">
        <v>31</v>
      </c>
      <c r="B30" s="9">
        <f>ROUND((B29/B21*100),0)</f>
        <v>-6</v>
      </c>
      <c r="C30" s="9">
        <f>ROUND((C29/C21*100),0)</f>
        <v>-7</v>
      </c>
      <c r="E30" s="9">
        <f>B30-C30</f>
        <v>1</v>
      </c>
      <c r="G30" s="9">
        <f>ROUND((G29/G21*100),0)</f>
        <v>6</v>
      </c>
      <c r="H30" s="9">
        <f>ROUND((H29/H21*100),0)</f>
        <v>-2</v>
      </c>
      <c r="J30" s="9">
        <f>G30-H30</f>
        <v>8</v>
      </c>
      <c r="L30" s="9">
        <f>ROUND((L29/L21*100),0)</f>
        <v>2</v>
      </c>
      <c r="M30" s="9">
        <f>ROUND((M29/M21*100),0)</f>
        <v>2</v>
      </c>
      <c r="O30" s="9">
        <f>L30-M30</f>
        <v>0</v>
      </c>
      <c r="Q30" s="9">
        <f>ROUND((Q29/Q21*100),0)</f>
        <v>5</v>
      </c>
      <c r="R30" s="9">
        <f>ROUND((R29/R21*100),0)</f>
        <v>-3</v>
      </c>
      <c r="T30" s="9">
        <f>Q30-R30</f>
        <v>8</v>
      </c>
      <c r="V30" s="9">
        <f>ROUND((V29/V21*100),0)</f>
        <v>0</v>
      </c>
      <c r="W30" s="9">
        <f>ROUND((W29/W21*100),0)</f>
        <v>-7</v>
      </c>
      <c r="Y30" s="9">
        <f>V30-W30</f>
        <v>7</v>
      </c>
      <c r="AA30" s="9">
        <f>ROUND((AA29/AA21*100),0)</f>
        <v>0</v>
      </c>
      <c r="AB30" s="9">
        <f>ROUND((AB29/AB21*100),0)</f>
        <v>0</v>
      </c>
      <c r="AD30" s="9">
        <f>AA30-AB30</f>
        <v>0</v>
      </c>
      <c r="AF30" s="9">
        <f>ROUND((AF29/AF21*100),0)</f>
        <v>5</v>
      </c>
      <c r="AG30" s="9">
        <f>ROUND((AG29/AG21*100),0)</f>
        <v>1</v>
      </c>
      <c r="AI30" s="9">
        <f>AF30-AG30</f>
        <v>4</v>
      </c>
      <c r="AK30" s="9">
        <f>ROUND((AK29/AK21*100),0)</f>
        <v>3</v>
      </c>
      <c r="AL30" s="9">
        <f>ROUND((AL29/AL21*100),0)</f>
        <v>-3</v>
      </c>
      <c r="AN30" s="9">
        <f>AK30-AL30</f>
        <v>6</v>
      </c>
    </row>
    <row r="31" spans="1:40" s="9" customFormat="1" ht="15" customHeight="1" x14ac:dyDescent="0.25">
      <c r="A31" s="11" t="s">
        <v>38</v>
      </c>
      <c r="B31" s="9">
        <v>216.23570999999998</v>
      </c>
      <c r="C31" s="9">
        <v>0</v>
      </c>
      <c r="D31" s="9">
        <v>0</v>
      </c>
      <c r="G31" s="9">
        <v>20899.507129999998</v>
      </c>
      <c r="H31" s="9">
        <v>17296.649579999998</v>
      </c>
      <c r="I31" s="9">
        <f>G31-H31</f>
        <v>3602.8575500000006</v>
      </c>
      <c r="J31" s="9">
        <f>I31/H31*100</f>
        <v>20.82980020689071</v>
      </c>
      <c r="L31" s="9">
        <v>0</v>
      </c>
      <c r="M31" s="9">
        <v>0</v>
      </c>
      <c r="N31" s="9">
        <f>L31-M31</f>
        <v>0</v>
      </c>
      <c r="Q31" s="9">
        <v>1623.0523600000001</v>
      </c>
      <c r="R31" s="9">
        <v>1737.2662600000001</v>
      </c>
      <c r="S31" s="9">
        <f>Q31-R31</f>
        <v>-114.21389999999997</v>
      </c>
      <c r="T31" s="9">
        <f>S31/R31*100</f>
        <v>-6.5743462950808684</v>
      </c>
      <c r="V31" s="9">
        <v>10351.989240000001</v>
      </c>
      <c r="W31" s="9">
        <v>5578.2560400000002</v>
      </c>
      <c r="X31" s="9">
        <f>V31-W31</f>
        <v>4773.7332000000006</v>
      </c>
      <c r="Y31" s="9">
        <f>X31/W31*100</f>
        <v>85.577520389329436</v>
      </c>
      <c r="AA31" s="9">
        <v>14.54</v>
      </c>
      <c r="AB31" s="9">
        <v>107.32</v>
      </c>
      <c r="AC31" s="9">
        <f>AA31-AB31</f>
        <v>-92.78</v>
      </c>
      <c r="AD31" s="9">
        <f>AC31/AB31*100</f>
        <v>-86.451733134550878</v>
      </c>
      <c r="AF31" s="9">
        <v>1698.80791</v>
      </c>
      <c r="AG31" s="9">
        <v>2077.9369299999998</v>
      </c>
      <c r="AH31" s="9">
        <f>AF31-AG31</f>
        <v>-379.12901999999985</v>
      </c>
      <c r="AI31" s="9">
        <f>AH31/AG31*100</f>
        <v>-18.245453676979498</v>
      </c>
      <c r="AK31" s="9">
        <f>B31+G31+L31+Q31+V31+AA31+AF31</f>
        <v>34804.132350000007</v>
      </c>
      <c r="AL31" s="9">
        <f>C31+H31+M31+R31+W31+AB31+AG31</f>
        <v>26797.428809999998</v>
      </c>
      <c r="AM31" s="9">
        <f>AK31-AL31</f>
        <v>8006.7035400000095</v>
      </c>
      <c r="AN31" s="9">
        <f>AM31/AL31*100</f>
        <v>29.878626030763623</v>
      </c>
    </row>
    <row r="32" spans="1:40" s="9" customFormat="1" ht="15" customHeight="1" x14ac:dyDescent="0.25">
      <c r="A32" s="11" t="s">
        <v>39</v>
      </c>
      <c r="B32" s="9">
        <f>B29-B31</f>
        <v>-3751.0283100000083</v>
      </c>
      <c r="C32" s="9">
        <f>C29-C31</f>
        <v>-3659.9279400000109</v>
      </c>
      <c r="D32" s="9">
        <f>B32-C32</f>
        <v>-91.100369999997383</v>
      </c>
      <c r="E32" s="9">
        <f>D32/C32*100</f>
        <v>2.4891301548411664</v>
      </c>
      <c r="G32" s="9">
        <f>G29-G31</f>
        <v>93813.820619999722</v>
      </c>
      <c r="H32" s="9">
        <f>H29-H31</f>
        <v>-53789.067839999843</v>
      </c>
      <c r="I32" s="9">
        <f>G32-H32</f>
        <v>147602.88845999958</v>
      </c>
      <c r="J32" s="9">
        <f>I32/H32*100</f>
        <v>-274.41057149206773</v>
      </c>
      <c r="L32" s="9">
        <f>L29-L31</f>
        <v>21256.602179999427</v>
      </c>
      <c r="M32" s="9">
        <f>M29-M31</f>
        <v>18759.687170000048</v>
      </c>
      <c r="N32" s="9">
        <f>L32-M32</f>
        <v>2496.9150099993785</v>
      </c>
      <c r="O32" s="9">
        <f>N32/M32*100</f>
        <v>13.310003452468935</v>
      </c>
      <c r="Q32" s="9">
        <f>Q29-Q31</f>
        <v>128780.22270000042</v>
      </c>
      <c r="R32" s="9">
        <f>R29-R31</f>
        <v>-75534.842010000837</v>
      </c>
      <c r="S32" s="9">
        <f>Q32-R32</f>
        <v>204315.06471000126</v>
      </c>
      <c r="T32" s="9">
        <f>S32/R32*100</f>
        <v>-270.49115252395694</v>
      </c>
      <c r="V32" s="9">
        <f>V29-V31</f>
        <v>-15369.110800000095</v>
      </c>
      <c r="W32" s="9">
        <f>W29-W31</f>
        <v>-116991.2485899996</v>
      </c>
      <c r="X32" s="9">
        <f>V32-W32</f>
        <v>101622.1377899995</v>
      </c>
      <c r="Y32" s="9">
        <f>X32/W32*100</f>
        <v>-86.863025238869156</v>
      </c>
      <c r="AA32" s="9">
        <f>AA29-AA31</f>
        <v>-1647.2309299997789</v>
      </c>
      <c r="AB32" s="9">
        <f>AB29-AB31</f>
        <v>1547.9616799999783</v>
      </c>
      <c r="AC32" s="9">
        <f>AA32-AB32</f>
        <v>-3195.1926099997572</v>
      </c>
      <c r="AD32" s="9">
        <f>AC32/AB32*100</f>
        <v>-206.41290099634779</v>
      </c>
      <c r="AF32" s="9">
        <f>AF29-AF31</f>
        <v>15940.525339999978</v>
      </c>
      <c r="AG32" s="9">
        <f>AG29-AG31</f>
        <v>698.27819999995472</v>
      </c>
      <c r="AH32" s="9">
        <f>AF32-AG32</f>
        <v>15242.247140000023</v>
      </c>
      <c r="AI32" s="9">
        <f>AH32/AG32*100</f>
        <v>2182.8330227122956</v>
      </c>
      <c r="AK32" s="9">
        <f>AK29-AK31</f>
        <v>239023.80080000215</v>
      </c>
      <c r="AL32" s="9">
        <f>AL29-AL31</f>
        <v>-228969.15933000087</v>
      </c>
      <c r="AM32" s="9">
        <f>AK32-AL32</f>
        <v>467992.96013000305</v>
      </c>
      <c r="AN32" s="9">
        <f>AM32/AL32*100</f>
        <v>-204.39126452637672</v>
      </c>
    </row>
    <row r="33" spans="1:40" s="9" customFormat="1" ht="15" customHeight="1" x14ac:dyDescent="0.25">
      <c r="A33" s="11" t="s">
        <v>31</v>
      </c>
      <c r="B33" s="9">
        <f>ROUND((B32/B21*100),0)</f>
        <v>-7</v>
      </c>
      <c r="C33" s="9">
        <f>ROUND((C32/C21*100),0)</f>
        <v>-7</v>
      </c>
      <c r="E33" s="9">
        <f>B33-C33</f>
        <v>0</v>
      </c>
      <c r="G33" s="9">
        <f>ROUND((G32/G21*100),0)</f>
        <v>5</v>
      </c>
      <c r="H33" s="9">
        <f>ROUND((H32/H21*100),0)</f>
        <v>-3</v>
      </c>
      <c r="J33" s="9">
        <f>G33-H33</f>
        <v>8</v>
      </c>
      <c r="L33" s="9">
        <f>ROUND((L32/L21*100),0)</f>
        <v>2</v>
      </c>
      <c r="M33" s="9">
        <f>ROUND((M32/M21*100),0)</f>
        <v>2</v>
      </c>
      <c r="O33" s="9">
        <f>L33-M33</f>
        <v>0</v>
      </c>
      <c r="Q33" s="9">
        <f>ROUND((Q32/Q21*100),0)</f>
        <v>4</v>
      </c>
      <c r="R33" s="9">
        <f>ROUND((R32/R21*100),0)</f>
        <v>-3</v>
      </c>
      <c r="T33" s="9">
        <f>Q33-R33</f>
        <v>7</v>
      </c>
      <c r="Y33" s="9">
        <f>V33-W33</f>
        <v>0</v>
      </c>
      <c r="AA33" s="9">
        <f>ROUND((AA32/AA21*100),0)</f>
        <v>0</v>
      </c>
      <c r="AB33" s="9">
        <f>ROUND((AB32/AB21*100),0)</f>
        <v>0</v>
      </c>
      <c r="AD33" s="9">
        <f>AA33-AB33</f>
        <v>0</v>
      </c>
      <c r="AF33" s="9">
        <f>ROUND((AF32/AF21*100),0)</f>
        <v>5</v>
      </c>
      <c r="AG33" s="9">
        <f>ROUND((AG32/AG21*100),0)</f>
        <v>0</v>
      </c>
      <c r="AI33" s="9">
        <f>AF33-AG33</f>
        <v>5</v>
      </c>
      <c r="AK33" s="9">
        <f>ROUND((AK32/AK21*100),0)</f>
        <v>3</v>
      </c>
      <c r="AL33" s="9">
        <f>ROUND((AL32/AL21*100),0)</f>
        <v>-3</v>
      </c>
      <c r="AN33" s="9">
        <f>AK33-AL33</f>
        <v>6</v>
      </c>
    </row>
    <row r="34" spans="1:40" s="12" customFormat="1" ht="15" hidden="1" customHeight="1" x14ac:dyDescent="0.25">
      <c r="A34" s="13"/>
      <c r="B34" s="29">
        <f>B32+B14</f>
        <v>-1319.254940000008</v>
      </c>
      <c r="C34" s="29">
        <f>C32+C14</f>
        <v>-3423.016360000011</v>
      </c>
      <c r="D34" s="9"/>
      <c r="E34" s="9"/>
      <c r="F34" s="9"/>
      <c r="G34" s="29">
        <f>G32+G14</f>
        <v>140309.95239999972</v>
      </c>
      <c r="H34" s="29">
        <f>H32+H14</f>
        <v>-11425.495079999848</v>
      </c>
      <c r="I34" s="9"/>
      <c r="J34" s="9"/>
      <c r="K34" s="9"/>
      <c r="L34" s="29">
        <f>L32+L14</f>
        <v>64379.908389999429</v>
      </c>
      <c r="M34" s="29">
        <f>M32+M14</f>
        <v>61393.399780000051</v>
      </c>
      <c r="N34" s="9"/>
      <c r="O34" s="9"/>
      <c r="P34" s="9"/>
      <c r="Q34" s="29">
        <f>Q32+Q14</f>
        <v>180788.51000000042</v>
      </c>
      <c r="R34" s="29">
        <f>R32+R14</f>
        <v>-24291.824500000832</v>
      </c>
      <c r="S34" s="9"/>
      <c r="T34" s="9"/>
      <c r="U34" s="9"/>
      <c r="V34" s="29"/>
      <c r="W34" s="29"/>
      <c r="X34" s="9"/>
      <c r="Y34" s="9"/>
      <c r="Z34" s="9"/>
      <c r="AA34" s="29">
        <f>AA32+AA14</f>
        <v>26888.151040000219</v>
      </c>
      <c r="AB34" s="29">
        <f>AB32+AB14</f>
        <v>26783.917679999977</v>
      </c>
      <c r="AC34" s="9"/>
      <c r="AD34" s="9"/>
      <c r="AE34" s="9"/>
      <c r="AF34" s="29">
        <f>AF32+AF14</f>
        <v>29633.902409999977</v>
      </c>
      <c r="AG34" s="29">
        <f>AG32+AG14</f>
        <v>14544.931309999954</v>
      </c>
      <c r="AH34" s="9"/>
      <c r="AI34" s="9"/>
      <c r="AJ34" s="9"/>
      <c r="AK34" s="9"/>
      <c r="AL34" s="9"/>
      <c r="AM34" s="9"/>
      <c r="AN34" s="9"/>
    </row>
    <row r="35" spans="1:40" s="12" customForma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12" customFormat="1" ht="15.6" x14ac:dyDescent="0.3">
      <c r="A36" s="14" t="s">
        <v>40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s="12" customFormat="1" ht="9.9" customHeight="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9" customFormat="1" ht="15" customHeight="1" x14ac:dyDescent="0.25">
      <c r="A38" s="11" t="s">
        <v>41</v>
      </c>
      <c r="B38" s="9">
        <v>12507.612130000001</v>
      </c>
      <c r="C38" s="9">
        <v>4003.0924199999999</v>
      </c>
      <c r="D38" s="9">
        <f>B38-C38</f>
        <v>8504.5197100000005</v>
      </c>
      <c r="E38" s="9">
        <f>D38/C38*100</f>
        <v>212.44874756101683</v>
      </c>
      <c r="G38" s="9">
        <v>361432.35486000002</v>
      </c>
      <c r="H38" s="9">
        <v>298781.93982999999</v>
      </c>
      <c r="I38" s="9">
        <f>G38-H38</f>
        <v>62650.415030000033</v>
      </c>
      <c r="J38" s="9">
        <f>I38/H38*100</f>
        <v>20.968608432506553</v>
      </c>
      <c r="L38" s="9">
        <v>253243.75346000001</v>
      </c>
      <c r="M38" s="9">
        <v>254919.32965</v>
      </c>
      <c r="N38" s="9">
        <f>L38-M38</f>
        <v>-1675.5761899999925</v>
      </c>
      <c r="O38" s="9">
        <f>N38/M38*100</f>
        <v>-0.65729664058842874</v>
      </c>
      <c r="Q38" s="9">
        <v>429549.86104000005</v>
      </c>
      <c r="R38" s="9">
        <v>275398.47619999998</v>
      </c>
      <c r="S38" s="9">
        <f>Q38-R38</f>
        <v>154151.38484000007</v>
      </c>
      <c r="T38" s="9">
        <f>S38/R38*100</f>
        <v>55.973942545728619</v>
      </c>
      <c r="V38" s="9">
        <v>553578.10250000004</v>
      </c>
      <c r="W38" s="9">
        <v>98187.83</v>
      </c>
      <c r="X38" s="9">
        <f>V38-W38</f>
        <v>455390.27250000002</v>
      </c>
      <c r="Y38" s="9">
        <f>X38/W38*100</f>
        <v>463.79502683784739</v>
      </c>
      <c r="AA38" s="9">
        <v>120859.15</v>
      </c>
      <c r="AB38" s="9">
        <v>120859.15</v>
      </c>
      <c r="AC38" s="9">
        <f>AA38-AB38</f>
        <v>0</v>
      </c>
      <c r="AD38" s="9">
        <f>AC38/AB38*100</f>
        <v>0</v>
      </c>
      <c r="AF38" s="9">
        <v>145234.75527000002</v>
      </c>
      <c r="AG38" s="9">
        <v>139516.11546999999</v>
      </c>
      <c r="AH38" s="9">
        <f>AF38-AG38</f>
        <v>5718.6398000000336</v>
      </c>
      <c r="AI38" s="9">
        <f>AH38/AG38*100</f>
        <v>4.098909850475092</v>
      </c>
      <c r="AK38" s="9">
        <f t="shared" ref="AK38:AL40" si="17">B38+G38+L38+Q38+V38+AA38+AF38</f>
        <v>1876405.58926</v>
      </c>
      <c r="AL38" s="9">
        <f t="shared" si="17"/>
        <v>1191665.9335700001</v>
      </c>
      <c r="AM38" s="9">
        <f>AK38-AL38</f>
        <v>684739.65568999993</v>
      </c>
      <c r="AN38" s="9">
        <f>AM38/AL38*100</f>
        <v>57.460705756574967</v>
      </c>
    </row>
    <row r="39" spans="1:40" s="9" customFormat="1" ht="15" customHeight="1" x14ac:dyDescent="0.25">
      <c r="A39" s="11" t="s">
        <v>42</v>
      </c>
      <c r="B39" s="9">
        <v>2388.6080699999998</v>
      </c>
      <c r="C39" s="9">
        <v>522.63509999999997</v>
      </c>
      <c r="D39" s="9">
        <f>B39-C39</f>
        <v>1865.9729699999998</v>
      </c>
      <c r="G39" s="9">
        <v>50.652809999999995</v>
      </c>
      <c r="H39" s="9">
        <v>52.441189999999999</v>
      </c>
      <c r="I39" s="9">
        <f>G39-H39</f>
        <v>-1.7883800000000036</v>
      </c>
      <c r="J39" s="9">
        <f>I39/H39*100</f>
        <v>-3.4102582340332166</v>
      </c>
      <c r="L39" s="9">
        <v>1387.7004999999999</v>
      </c>
      <c r="M39" s="9">
        <v>1317.4508799999999</v>
      </c>
      <c r="N39" s="9">
        <f>L39-M39</f>
        <v>70.24962000000005</v>
      </c>
      <c r="O39" s="9">
        <f>N39/M39*100</f>
        <v>5.3322382691034411</v>
      </c>
      <c r="Q39" s="9">
        <v>0</v>
      </c>
      <c r="R39" s="9">
        <v>0</v>
      </c>
      <c r="S39" s="9">
        <f>Q39-R39</f>
        <v>0</v>
      </c>
      <c r="V39" s="9">
        <v>0</v>
      </c>
      <c r="W39" s="9">
        <v>0</v>
      </c>
      <c r="X39" s="9">
        <f>V39-W39</f>
        <v>0</v>
      </c>
      <c r="AA39" s="9">
        <v>0</v>
      </c>
      <c r="AB39" s="9">
        <v>0</v>
      </c>
      <c r="AC39" s="9">
        <f>AA39-AB39</f>
        <v>0</v>
      </c>
      <c r="AF39" s="9">
        <v>0</v>
      </c>
      <c r="AG39" s="9">
        <v>0</v>
      </c>
      <c r="AH39" s="9">
        <f>AF39-AG39</f>
        <v>0</v>
      </c>
      <c r="AK39" s="9">
        <f t="shared" si="17"/>
        <v>3826.9613799999997</v>
      </c>
      <c r="AL39" s="9">
        <f t="shared" si="17"/>
        <v>1892.5271699999998</v>
      </c>
      <c r="AM39" s="9">
        <f>AK39-AL39</f>
        <v>1934.4342099999999</v>
      </c>
      <c r="AN39" s="9">
        <f>AM39/AL39*100</f>
        <v>102.21434284613204</v>
      </c>
    </row>
    <row r="40" spans="1:40" s="9" customFormat="1" ht="15" customHeight="1" x14ac:dyDescent="0.25">
      <c r="A40" s="11" t="s">
        <v>43</v>
      </c>
      <c r="B40" s="9">
        <v>362.37859000000003</v>
      </c>
      <c r="C40" s="9">
        <v>668.20298000000003</v>
      </c>
      <c r="D40" s="9">
        <f>B40-C40</f>
        <v>-305.82438999999999</v>
      </c>
      <c r="E40" s="9">
        <f>D40/C40*100</f>
        <v>-45.768187085906135</v>
      </c>
      <c r="G40" s="9">
        <v>487359.52132999996</v>
      </c>
      <c r="H40" s="9">
        <v>431373.05060000002</v>
      </c>
      <c r="I40" s="9">
        <f>G40-H40</f>
        <v>55986.470729999943</v>
      </c>
      <c r="J40" s="9">
        <f>I40/H40*100</f>
        <v>12.978666760041671</v>
      </c>
      <c r="L40" s="9">
        <v>-12376.45867</v>
      </c>
      <c r="M40" s="9">
        <v>-17529.750469999999</v>
      </c>
      <c r="N40" s="9">
        <f>L40-M40</f>
        <v>5153.2917999999991</v>
      </c>
      <c r="O40" s="9">
        <f>N40/M40*100</f>
        <v>-29.397405335684734</v>
      </c>
      <c r="Q40" s="9">
        <v>35428.043749999997</v>
      </c>
      <c r="R40" s="9">
        <v>2373.8490400000001</v>
      </c>
      <c r="S40" s="9">
        <f>Q40-R40</f>
        <v>33054.194709999996</v>
      </c>
      <c r="T40" s="9">
        <f>S40/R40*100</f>
        <v>1392.4303590088439</v>
      </c>
      <c r="V40" s="9">
        <v>51.22383</v>
      </c>
      <c r="W40" s="9">
        <v>50.2</v>
      </c>
      <c r="X40" s="9">
        <f>V40-W40</f>
        <v>1.0238299999999967</v>
      </c>
      <c r="Y40" s="9">
        <f>X40/W40*100</f>
        <v>2.039501992031866</v>
      </c>
      <c r="AA40" s="9">
        <v>-16304.9</v>
      </c>
      <c r="AB40" s="9">
        <v>-16304.9</v>
      </c>
      <c r="AC40" s="9">
        <f>AA40-AB40</f>
        <v>0</v>
      </c>
      <c r="AD40" s="9">
        <f>AC40/AB40*100</f>
        <v>0</v>
      </c>
      <c r="AF40" s="9">
        <v>30021.688899999976</v>
      </c>
      <c r="AG40" s="9">
        <v>22599.958269999981</v>
      </c>
      <c r="AH40" s="9">
        <f>AF40-AG40</f>
        <v>7421.7306299999946</v>
      </c>
      <c r="AI40" s="9">
        <f>AH40/AG40*100</f>
        <v>32.839576698917512</v>
      </c>
      <c r="AK40" s="9">
        <f t="shared" si="17"/>
        <v>524541.49772999983</v>
      </c>
      <c r="AL40" s="9">
        <f t="shared" si="17"/>
        <v>423230.61042000004</v>
      </c>
      <c r="AM40" s="9">
        <f>AK40-AL40</f>
        <v>101310.88730999979</v>
      </c>
      <c r="AN40" s="9">
        <f>AM40/AL40*100</f>
        <v>23.93751416265998</v>
      </c>
    </row>
    <row r="41" spans="1:40" s="9" customFormat="1" ht="15" customHeight="1" x14ac:dyDescent="0.25">
      <c r="A41" s="11" t="s">
        <v>44</v>
      </c>
    </row>
    <row r="42" spans="1:40" s="9" customFormat="1" ht="15" customHeight="1" x14ac:dyDescent="0.25">
      <c r="A42" s="11" t="s">
        <v>45</v>
      </c>
      <c r="B42" s="9">
        <v>12280.01</v>
      </c>
      <c r="C42" s="9">
        <v>17181.57</v>
      </c>
      <c r="D42" s="9">
        <f>B42-C42</f>
        <v>-4901.5599999999995</v>
      </c>
      <c r="E42" s="9">
        <f>D42/C42*100</f>
        <v>-28.528009954852784</v>
      </c>
      <c r="G42" s="9">
        <v>391850.62</v>
      </c>
      <c r="H42" s="9">
        <v>357012.86</v>
      </c>
      <c r="I42" s="9">
        <f>G42-H42</f>
        <v>34837.760000000009</v>
      </c>
      <c r="J42" s="9">
        <f>I42/H42*100</f>
        <v>9.7581246793182785</v>
      </c>
      <c r="L42" s="9">
        <v>242050.79</v>
      </c>
      <c r="M42" s="9">
        <v>219603.04</v>
      </c>
      <c r="N42" s="9">
        <f>L42-M42</f>
        <v>22447.75</v>
      </c>
      <c r="O42" s="9">
        <f>N42/M42*100</f>
        <v>10.221966872589741</v>
      </c>
      <c r="Q42" s="9">
        <v>765951.19</v>
      </c>
      <c r="R42" s="9">
        <v>752893.2</v>
      </c>
      <c r="S42" s="9">
        <f>Q42-R42</f>
        <v>13057.989999999991</v>
      </c>
      <c r="T42" s="9">
        <f>S42/R42*100</f>
        <v>1.7343748090698643</v>
      </c>
      <c r="V42" s="9">
        <v>530039.22</v>
      </c>
      <c r="W42" s="9">
        <v>680113.42</v>
      </c>
      <c r="X42" s="9">
        <f>V42-W42</f>
        <v>-150074.20000000007</v>
      </c>
      <c r="Y42" s="9">
        <f>X42/W42*100</f>
        <v>-22.066054805976343</v>
      </c>
      <c r="AA42" s="9">
        <v>415249.75</v>
      </c>
      <c r="AB42" s="9">
        <v>415249.75</v>
      </c>
      <c r="AC42" s="9">
        <f>AA42-AB42</f>
        <v>0</v>
      </c>
      <c r="AD42" s="9">
        <f>AC42/AB42*100</f>
        <v>0</v>
      </c>
      <c r="AF42" s="9">
        <v>51627.08</v>
      </c>
      <c r="AG42" s="9">
        <v>44905.67</v>
      </c>
      <c r="AH42" s="9">
        <f>AF42-AG42</f>
        <v>6721.4100000000035</v>
      </c>
      <c r="AI42" s="9">
        <f>AH42/AG42*100</f>
        <v>14.967842590924496</v>
      </c>
      <c r="AK42" s="9">
        <f>B42+G42+L42+Q42+V42+AA42+AF42</f>
        <v>2409048.66</v>
      </c>
      <c r="AL42" s="9">
        <f>C42+H42+M42+R42+W42+AB42+AG42</f>
        <v>2486959.5099999998</v>
      </c>
      <c r="AM42" s="9">
        <f>AK42-AL42</f>
        <v>-77910.849999999627</v>
      </c>
      <c r="AN42" s="9">
        <f>AM42/AL42*100</f>
        <v>-3.132775169307024</v>
      </c>
    </row>
    <row r="43" spans="1:40" s="10" customFormat="1" ht="15" customHeight="1" x14ac:dyDescent="0.25">
      <c r="A43" s="27" t="s">
        <v>46</v>
      </c>
      <c r="B43" s="10">
        <f>B42/(B13/6)</f>
        <v>1.2916634624918959</v>
      </c>
      <c r="C43" s="10">
        <f>C42/(C13/6)</f>
        <v>2.1361762821061516</v>
      </c>
      <c r="D43" s="10">
        <f>B43-C43</f>
        <v>-0.84451281961425573</v>
      </c>
      <c r="E43" s="9">
        <f>D43/C43*100</f>
        <v>-39.533854330674096</v>
      </c>
      <c r="G43" s="10">
        <f>G42/(G13/6)</f>
        <v>1.0482929089784281</v>
      </c>
      <c r="H43" s="10">
        <f>H42/(H13/6)</f>
        <v>1.1632120909688601</v>
      </c>
      <c r="I43" s="10">
        <f>G43-H43</f>
        <v>-0.11491918199043205</v>
      </c>
      <c r="J43" s="9">
        <f>I43/H43*100</f>
        <v>-9.8794693489399528</v>
      </c>
      <c r="L43" s="10">
        <f>L42/(L13/6)</f>
        <v>1.0806569050654529</v>
      </c>
      <c r="M43" s="10">
        <f>M42/(M13/6)</f>
        <v>1.1017497283570925</v>
      </c>
      <c r="N43" s="10">
        <f>L43-M43</f>
        <v>-2.109282329163964E-2</v>
      </c>
      <c r="O43" s="9">
        <f>N43/M43*100</f>
        <v>-1.9144840927796589</v>
      </c>
      <c r="Q43" s="10">
        <f>Q42/(Q13/6)</f>
        <v>1.5474892363146893</v>
      </c>
      <c r="R43" s="10">
        <f>R42/(R13/6)</f>
        <v>1.6206690695535244</v>
      </c>
      <c r="S43" s="10">
        <f>Q43-R43</f>
        <v>-7.3179833238835146E-2</v>
      </c>
      <c r="T43" s="9">
        <f>S43/R43*100</f>
        <v>-4.5154087662693128</v>
      </c>
      <c r="V43" s="10">
        <f>V42/(V13/6)</f>
        <v>1.6223089311915702</v>
      </c>
      <c r="W43" s="10">
        <f>W42/(W13/6)</f>
        <v>2.3956061218610532</v>
      </c>
      <c r="X43" s="10">
        <f>V43-W43</f>
        <v>-0.77329719066948299</v>
      </c>
      <c r="Y43" s="9">
        <f>X43/W43*100</f>
        <v>-32.279813597601695</v>
      </c>
      <c r="AA43" s="10">
        <f>AA42/(AA13/6)</f>
        <v>2.054457187278576</v>
      </c>
      <c r="AB43" s="10">
        <f>AB42/(AB13/6)</f>
        <v>5.4000798757668447</v>
      </c>
      <c r="AC43" s="10">
        <f>AA43-AB43</f>
        <v>-3.3456226884882687</v>
      </c>
      <c r="AD43" s="9">
        <f>AC43/AB43*100</f>
        <v>-61.955059285362324</v>
      </c>
      <c r="AF43" s="10">
        <f>AF42/(AF13/6)</f>
        <v>0.86315997938795486</v>
      </c>
      <c r="AG43" s="10">
        <f>AG42/(AG13/6)</f>
        <v>0.80532938113296626</v>
      </c>
      <c r="AH43" s="10">
        <f>AF43-AG43</f>
        <v>5.7830598254988597E-2</v>
      </c>
      <c r="AI43" s="9">
        <f>AH43/AG43*100</f>
        <v>7.1809870110078986</v>
      </c>
      <c r="AJ43" s="9"/>
      <c r="AK43" s="10">
        <f>AK42/(AK13/3)</f>
        <v>0.71235408136883405</v>
      </c>
      <c r="AL43" s="10">
        <f>AL42/(AL13/3)</f>
        <v>0.89112780782008982</v>
      </c>
      <c r="AM43" s="10">
        <f>AK43-AL43</f>
        <v>-0.17877372645125578</v>
      </c>
      <c r="AN43" s="9">
        <f>AM43/AL43*100</f>
        <v>-20.061513610329225</v>
      </c>
    </row>
    <row r="44" spans="1:40" s="12" customFormat="1" ht="15" customHeight="1" x14ac:dyDescent="0.25">
      <c r="A44" s="13" t="s">
        <v>47</v>
      </c>
      <c r="B44" s="30"/>
      <c r="C44" s="3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1"/>
      <c r="AL44" s="11"/>
      <c r="AM44" s="9"/>
      <c r="AN44" s="9"/>
    </row>
    <row r="45" spans="1:40" s="9" customFormat="1" ht="15" customHeight="1" x14ac:dyDescent="0.25">
      <c r="A45" s="11" t="s">
        <v>45</v>
      </c>
      <c r="B45" s="9">
        <v>8095.18</v>
      </c>
      <c r="C45" s="9">
        <v>9026.2099999999991</v>
      </c>
      <c r="D45" s="9">
        <f t="shared" ref="D45:D50" si="18">B45-C45</f>
        <v>-931.02999999999884</v>
      </c>
      <c r="E45" s="9">
        <f t="shared" ref="E45:E50" si="19">D45/C45*100</f>
        <v>-10.314738965745301</v>
      </c>
      <c r="G45" s="9">
        <v>338703.23</v>
      </c>
      <c r="H45" s="9">
        <v>370362.46</v>
      </c>
      <c r="I45" s="9">
        <f t="shared" ref="I45:I50" si="20">G45-H45</f>
        <v>-31659.23000000004</v>
      </c>
      <c r="J45" s="9">
        <f t="shared" ref="J45:J50" si="21">I45/H45*100</f>
        <v>-8.5481746719146532</v>
      </c>
      <c r="L45" s="9">
        <v>201458.49</v>
      </c>
      <c r="M45" s="9">
        <v>220552.16</v>
      </c>
      <c r="N45" s="9">
        <f t="shared" ref="N45:N50" si="22">L45-M45</f>
        <v>-19093.670000000013</v>
      </c>
      <c r="O45" s="9">
        <f>N45/M45*100</f>
        <v>-8.6572128788038238</v>
      </c>
      <c r="Q45" s="9">
        <v>665878.75</v>
      </c>
      <c r="R45" s="9">
        <v>609820.18000000005</v>
      </c>
      <c r="S45" s="9">
        <f t="shared" ref="S45:S50" si="23">Q45-R45</f>
        <v>56058.569999999949</v>
      </c>
      <c r="T45" s="9">
        <f t="shared" ref="T45:T50" si="24">S45/R45*100</f>
        <v>9.1926393777260618</v>
      </c>
      <c r="V45" s="9">
        <v>761332.52</v>
      </c>
      <c r="W45" s="9">
        <v>318091.99</v>
      </c>
      <c r="X45" s="9">
        <f t="shared" ref="X45:X50" si="25">V45-W45</f>
        <v>443240.53</v>
      </c>
      <c r="Y45" s="9">
        <f t="shared" ref="Y45:Y50" si="26">X45/W45*100</f>
        <v>139.34350563181425</v>
      </c>
      <c r="AC45" s="9">
        <f t="shared" ref="AC45:AC50" si="27">AA45-AB45</f>
        <v>0</v>
      </c>
      <c r="AD45" s="9">
        <f t="shared" ref="AD45:AD46" si="28">IFERROR(AC45/AB45*100,0)</f>
        <v>0</v>
      </c>
      <c r="AF45" s="9">
        <v>51257.54</v>
      </c>
      <c r="AG45" s="9">
        <v>64731.77</v>
      </c>
      <c r="AH45" s="9">
        <f t="shared" ref="AH45:AH50" si="29">AF45-AG45</f>
        <v>-13474.229999999996</v>
      </c>
      <c r="AI45" s="9">
        <f t="shared" ref="AI45:AI50" si="30">AH45/AG45*100</f>
        <v>-20.815482104073464</v>
      </c>
      <c r="AK45" s="9">
        <f>B45+G45+L45+Q45+V45+AA45+AF45</f>
        <v>2026725.71</v>
      </c>
      <c r="AL45" s="9">
        <f>C45+H45+M45+R45+W45+AB45+AG45</f>
        <v>1592584.7700000003</v>
      </c>
      <c r="AM45" s="9">
        <f t="shared" ref="AM45:AM50" si="31">AK45-AL45</f>
        <v>434140.93999999971</v>
      </c>
      <c r="AN45" s="9">
        <f t="shared" ref="AN45:AN50" si="32">AM45/AL45*100</f>
        <v>27.260146409663307</v>
      </c>
    </row>
    <row r="46" spans="1:40" s="10" customFormat="1" ht="15" customHeight="1" x14ac:dyDescent="0.25">
      <c r="A46" s="27" t="s">
        <v>48</v>
      </c>
      <c r="B46" s="10">
        <f>B45/(B22/6)</f>
        <v>1.2644274652958047</v>
      </c>
      <c r="C46" s="10">
        <f>C45/(C22/6)</f>
        <v>1.4785342736042149</v>
      </c>
      <c r="D46" s="10">
        <f t="shared" si="18"/>
        <v>-0.21410680830841011</v>
      </c>
      <c r="E46" s="9">
        <f t="shared" si="19"/>
        <v>-14.481017594978244</v>
      </c>
      <c r="G46" s="10">
        <f>G45/(G22/6)</f>
        <v>1.2029235390492279</v>
      </c>
      <c r="H46" s="10">
        <f>H45/(H22/6)</f>
        <v>1.5006796791270862</v>
      </c>
      <c r="I46" s="10">
        <f t="shared" si="20"/>
        <v>-0.29775614007785833</v>
      </c>
      <c r="J46" s="9">
        <f t="shared" si="21"/>
        <v>-19.841418806380908</v>
      </c>
      <c r="L46" s="10">
        <f>L45/(L22/6)</f>
        <v>1.0959593602453463</v>
      </c>
      <c r="M46" s="10">
        <f>M45/(M22/6)</f>
        <v>1.3779220035998805</v>
      </c>
      <c r="N46" s="10">
        <f t="shared" si="22"/>
        <v>-0.28196264335453414</v>
      </c>
      <c r="O46" s="9">
        <f>N46/M46*100</f>
        <v>-20.46288851022733</v>
      </c>
      <c r="Q46" s="10">
        <f>Q45/(Q22/6)</f>
        <v>1.5807243008695417</v>
      </c>
      <c r="R46" s="10">
        <f>R45/(R22/6)</f>
        <v>1.4351334614531628</v>
      </c>
      <c r="S46" s="10">
        <f t="shared" si="23"/>
        <v>0.14559083941637896</v>
      </c>
      <c r="T46" s="9">
        <f t="shared" si="24"/>
        <v>10.144759586955702</v>
      </c>
      <c r="V46" s="10">
        <f>V45/(V22/6)</f>
        <v>3.013406206404488</v>
      </c>
      <c r="W46" s="10">
        <f>W45/(W22/6)</f>
        <v>1.3067286652136383</v>
      </c>
      <c r="X46" s="10">
        <f t="shared" si="25"/>
        <v>1.7066775411908497</v>
      </c>
      <c r="Y46" s="9">
        <f t="shared" si="26"/>
        <v>130.60688011400006</v>
      </c>
      <c r="AA46" s="10">
        <f>AA45/(AA22/6)</f>
        <v>0</v>
      </c>
      <c r="AB46" s="10">
        <f>AB45/(AB22/6)</f>
        <v>0</v>
      </c>
      <c r="AC46" s="10">
        <f t="shared" si="27"/>
        <v>0</v>
      </c>
      <c r="AD46" s="9">
        <f t="shared" si="28"/>
        <v>0</v>
      </c>
      <c r="AF46" s="10">
        <f>AF45/(AF22/6)</f>
        <v>1.1604525364215599</v>
      </c>
      <c r="AG46" s="10">
        <f>AG45/(AG22/6)</f>
        <v>1.4846139684772754</v>
      </c>
      <c r="AH46" s="10">
        <f t="shared" si="29"/>
        <v>-0.32416143205571557</v>
      </c>
      <c r="AI46" s="9">
        <f t="shared" si="30"/>
        <v>-21.834728686285924</v>
      </c>
      <c r="AJ46" s="9"/>
      <c r="AK46" s="10">
        <f>AK45/(AK22/3)</f>
        <v>0.75337615037054628</v>
      </c>
      <c r="AL46" s="10">
        <f>AL45/(AL22/3)</f>
        <v>0.6727777156856769</v>
      </c>
      <c r="AM46" s="10">
        <f t="shared" si="31"/>
        <v>8.059843468486938E-2</v>
      </c>
      <c r="AN46" s="9">
        <f t="shared" si="32"/>
        <v>11.979950109186603</v>
      </c>
    </row>
    <row r="47" spans="1:40" s="9" customFormat="1" ht="15" customHeight="1" x14ac:dyDescent="0.25">
      <c r="A47" s="11" t="s">
        <v>49</v>
      </c>
      <c r="B47" s="9">
        <v>6588.0874683333341</v>
      </c>
      <c r="C47" s="9">
        <v>3844.643842777778</v>
      </c>
      <c r="D47" s="9">
        <f t="shared" si="18"/>
        <v>2743.4436255555561</v>
      </c>
      <c r="E47" s="9">
        <f t="shared" si="19"/>
        <v>71.357549300936071</v>
      </c>
      <c r="G47" s="9">
        <v>301961.85751</v>
      </c>
      <c r="H47" s="9">
        <v>173819.071845</v>
      </c>
      <c r="I47" s="9">
        <f t="shared" si="20"/>
        <v>128142.785665</v>
      </c>
      <c r="J47" s="9">
        <f t="shared" si="21"/>
        <v>73.721936439327564</v>
      </c>
      <c r="L47" s="9">
        <v>173490.66306833335</v>
      </c>
      <c r="M47" s="9">
        <v>101274.26210833334</v>
      </c>
      <c r="N47" s="9">
        <f t="shared" si="22"/>
        <v>72216.400960000014</v>
      </c>
      <c r="O47" s="9">
        <f>N47/M47*100</f>
        <v>71.307753279653568</v>
      </c>
      <c r="Q47" s="9">
        <v>434255.14890166669</v>
      </c>
      <c r="R47" s="9">
        <v>271071.78702111106</v>
      </c>
      <c r="S47" s="9">
        <f t="shared" si="23"/>
        <v>163183.36188055563</v>
      </c>
      <c r="T47" s="9">
        <f t="shared" si="24"/>
        <v>60.199316082955889</v>
      </c>
      <c r="V47" s="9">
        <v>189037.03955666666</v>
      </c>
      <c r="W47" s="9">
        <v>233051.05257999999</v>
      </c>
      <c r="X47" s="9">
        <f t="shared" si="25"/>
        <v>-44014.013023333333</v>
      </c>
      <c r="Y47" s="9">
        <f t="shared" si="26"/>
        <v>-18.885996238195293</v>
      </c>
      <c r="AA47" s="9">
        <v>75110.894333333345</v>
      </c>
      <c r="AB47" s="9">
        <v>75110.894333333345</v>
      </c>
      <c r="AC47" s="9">
        <f t="shared" si="27"/>
        <v>0</v>
      </c>
      <c r="AD47" s="9">
        <f t="shared" ref="AD47:AD50" si="33">AC47/AB47*100</f>
        <v>0</v>
      </c>
      <c r="AF47" s="9">
        <v>43321.254663333333</v>
      </c>
      <c r="AG47" s="9">
        <v>26872.468646111112</v>
      </c>
      <c r="AH47" s="9">
        <f t="shared" si="29"/>
        <v>16448.786017222221</v>
      </c>
      <c r="AI47" s="9">
        <f t="shared" si="30"/>
        <v>61.210550596744781</v>
      </c>
      <c r="AK47" s="9">
        <f t="shared" ref="AK47:AL49" si="34">B47+G47+L47+Q47+V47+AA47+AF47</f>
        <v>1223764.9455016665</v>
      </c>
      <c r="AL47" s="9">
        <f t="shared" si="34"/>
        <v>885044.18037666671</v>
      </c>
      <c r="AM47" s="9">
        <f t="shared" si="31"/>
        <v>338720.7651249998</v>
      </c>
      <c r="AN47" s="9">
        <f t="shared" si="32"/>
        <v>38.271622212220336</v>
      </c>
    </row>
    <row r="48" spans="1:40" s="9" customFormat="1" ht="15" customHeight="1" x14ac:dyDescent="0.25">
      <c r="A48" s="11" t="s">
        <v>50</v>
      </c>
      <c r="B48" s="9">
        <v>177.07934</v>
      </c>
      <c r="C48" s="9">
        <v>50.746000000000002</v>
      </c>
      <c r="D48" s="9">
        <f t="shared" si="18"/>
        <v>126.33333999999999</v>
      </c>
      <c r="E48" s="9">
        <f t="shared" si="19"/>
        <v>248.9523115122374</v>
      </c>
      <c r="G48" s="9">
        <v>923.35109</v>
      </c>
      <c r="H48" s="9">
        <v>142.06735</v>
      </c>
      <c r="I48" s="9">
        <f t="shared" si="20"/>
        <v>781.28373999999997</v>
      </c>
      <c r="J48" s="9">
        <f t="shared" si="21"/>
        <v>549.93898316537889</v>
      </c>
      <c r="L48" s="9">
        <v>2.95045</v>
      </c>
      <c r="M48" s="9">
        <v>0.94061000000000006</v>
      </c>
      <c r="N48" s="9">
        <f t="shared" si="22"/>
        <v>2.0098400000000001</v>
      </c>
      <c r="Q48" s="9">
        <v>4526.1628099999998</v>
      </c>
      <c r="R48" s="9">
        <v>3237.6316900000002</v>
      </c>
      <c r="S48" s="9">
        <f t="shared" si="23"/>
        <v>1288.5311199999996</v>
      </c>
      <c r="T48" s="9">
        <f t="shared" si="24"/>
        <v>39.798570170283931</v>
      </c>
      <c r="V48" s="9">
        <v>6411.7563499999997</v>
      </c>
      <c r="W48" s="9">
        <v>4347.71234</v>
      </c>
      <c r="X48" s="9">
        <f t="shared" si="25"/>
        <v>2064.0440099999996</v>
      </c>
      <c r="Y48" s="9">
        <f t="shared" si="26"/>
        <v>47.474254241944621</v>
      </c>
      <c r="AA48" s="9">
        <v>487.45489000000003</v>
      </c>
      <c r="AB48" s="9">
        <v>487.45489000000003</v>
      </c>
      <c r="AC48" s="9">
        <f t="shared" si="27"/>
        <v>0</v>
      </c>
      <c r="AD48" s="9">
        <f t="shared" si="33"/>
        <v>0</v>
      </c>
      <c r="AF48" s="9">
        <v>500.83438000000012</v>
      </c>
      <c r="AG48" s="9">
        <v>664.22576999999978</v>
      </c>
      <c r="AH48" s="9">
        <f t="shared" si="29"/>
        <v>-163.39138999999966</v>
      </c>
      <c r="AI48" s="9">
        <f t="shared" si="30"/>
        <v>-24.598773094877018</v>
      </c>
      <c r="AK48" s="9">
        <f t="shared" si="34"/>
        <v>13029.589309999999</v>
      </c>
      <c r="AL48" s="9">
        <f t="shared" si="34"/>
        <v>8930.7786500000002</v>
      </c>
      <c r="AM48" s="9">
        <f t="shared" si="31"/>
        <v>4098.8106599999992</v>
      </c>
      <c r="AN48" s="9">
        <f t="shared" si="32"/>
        <v>45.895333661639896</v>
      </c>
    </row>
    <row r="49" spans="1:46" s="9" customFormat="1" ht="15" customHeight="1" x14ac:dyDescent="0.25">
      <c r="A49" s="11" t="s">
        <v>51</v>
      </c>
      <c r="B49" s="9">
        <v>1128.7933499999999</v>
      </c>
      <c r="C49" s="9">
        <v>929.51146999999992</v>
      </c>
      <c r="D49" s="9">
        <f t="shared" si="18"/>
        <v>199.28188</v>
      </c>
      <c r="E49" s="9">
        <f t="shared" si="19"/>
        <v>21.439421290842169</v>
      </c>
      <c r="G49" s="9">
        <v>42397.929510000002</v>
      </c>
      <c r="H49" s="9">
        <v>39482.43245</v>
      </c>
      <c r="I49" s="9">
        <f t="shared" si="20"/>
        <v>2915.4970600000015</v>
      </c>
      <c r="J49" s="9">
        <f t="shared" si="21"/>
        <v>7.3842893638636529</v>
      </c>
      <c r="L49" s="9">
        <v>19626.247629999998</v>
      </c>
      <c r="M49" s="9">
        <v>24857.230779999998</v>
      </c>
      <c r="N49" s="9">
        <f t="shared" si="22"/>
        <v>-5230.98315</v>
      </c>
      <c r="O49" s="9">
        <f>N49/M49*100</f>
        <v>-21.044110650526779</v>
      </c>
      <c r="Q49" s="9">
        <v>47624.245389999996</v>
      </c>
      <c r="R49" s="9">
        <v>71083.15432999999</v>
      </c>
      <c r="S49" s="9">
        <f t="shared" si="23"/>
        <v>-23458.908939999994</v>
      </c>
      <c r="T49" s="9">
        <f t="shared" si="24"/>
        <v>-33.00206520252771</v>
      </c>
      <c r="V49" s="9">
        <v>29340.61175</v>
      </c>
      <c r="W49" s="9">
        <v>35494.830730000001</v>
      </c>
      <c r="X49" s="9">
        <f t="shared" si="25"/>
        <v>-6154.2189800000015</v>
      </c>
      <c r="Y49" s="9">
        <f t="shared" si="26"/>
        <v>-17.338352806394695</v>
      </c>
      <c r="AA49" s="9">
        <v>8978.3510000000006</v>
      </c>
      <c r="AB49" s="9">
        <v>8978.3510000000006</v>
      </c>
      <c r="AC49" s="9">
        <f t="shared" si="27"/>
        <v>0</v>
      </c>
      <c r="AD49" s="9">
        <f t="shared" si="33"/>
        <v>0</v>
      </c>
      <c r="AF49" s="9">
        <v>12188.842119999999</v>
      </c>
      <c r="AG49" s="9">
        <v>7493.6651000000002</v>
      </c>
      <c r="AH49" s="9">
        <f t="shared" si="29"/>
        <v>4695.1770199999992</v>
      </c>
      <c r="AI49" s="9">
        <f t="shared" si="30"/>
        <v>62.655282259678238</v>
      </c>
      <c r="AK49" s="9">
        <f t="shared" si="34"/>
        <v>161285.02075</v>
      </c>
      <c r="AL49" s="9">
        <f t="shared" si="34"/>
        <v>188319.17586000002</v>
      </c>
      <c r="AM49" s="9">
        <f t="shared" si="31"/>
        <v>-27034.155110000022</v>
      </c>
      <c r="AN49" s="9">
        <f t="shared" si="32"/>
        <v>-14.355497780054918</v>
      </c>
    </row>
    <row r="50" spans="1:46" s="9" customFormat="1" ht="15" customHeight="1" x14ac:dyDescent="0.25">
      <c r="A50" s="11" t="s">
        <v>52</v>
      </c>
      <c r="B50" s="9">
        <f>B$14</f>
        <v>2431.7733700000003</v>
      </c>
      <c r="C50" s="9">
        <f>C$14</f>
        <v>236.91157999999999</v>
      </c>
      <c r="D50" s="9">
        <f t="shared" si="18"/>
        <v>2194.8617900000004</v>
      </c>
      <c r="E50" s="9">
        <f t="shared" si="19"/>
        <v>926.44766034653117</v>
      </c>
      <c r="G50" s="9">
        <f>G$14</f>
        <v>46496.131780000003</v>
      </c>
      <c r="H50" s="9">
        <f>H$14</f>
        <v>42363.572759999995</v>
      </c>
      <c r="I50" s="9">
        <f t="shared" si="20"/>
        <v>4132.5590200000079</v>
      </c>
      <c r="J50" s="9">
        <f t="shared" si="21"/>
        <v>9.7549822896476783</v>
      </c>
      <c r="L50" s="9">
        <f>L$14</f>
        <v>43123.306210000002</v>
      </c>
      <c r="M50" s="9">
        <f>M$14</f>
        <v>42633.712610000002</v>
      </c>
      <c r="N50" s="9">
        <f t="shared" si="22"/>
        <v>489.59360000000015</v>
      </c>
      <c r="O50" s="9">
        <f>N50/M50*100</f>
        <v>1.1483719573724456</v>
      </c>
      <c r="Q50" s="9">
        <f>Q$14</f>
        <v>52008.287299999996</v>
      </c>
      <c r="R50" s="9">
        <f>R$14</f>
        <v>51243.017510000005</v>
      </c>
      <c r="S50" s="9">
        <f t="shared" si="23"/>
        <v>765.26978999999119</v>
      </c>
      <c r="T50" s="9">
        <f t="shared" si="24"/>
        <v>1.4934128144398402</v>
      </c>
      <c r="V50" s="9">
        <f>V14</f>
        <v>47488.721819999999</v>
      </c>
      <c r="W50" s="9">
        <f>W14</f>
        <v>46560.270739999993</v>
      </c>
      <c r="X50" s="9">
        <f t="shared" si="25"/>
        <v>928.45108000000619</v>
      </c>
      <c r="Y50" s="9">
        <f t="shared" si="26"/>
        <v>1.9940843668728341</v>
      </c>
      <c r="AA50" s="9">
        <f>AA$14</f>
        <v>28535.381969999999</v>
      </c>
      <c r="AB50" s="9">
        <f>AB$14</f>
        <v>25235.955999999998</v>
      </c>
      <c r="AC50" s="9">
        <f t="shared" si="27"/>
        <v>3299.4259700000002</v>
      </c>
      <c r="AD50" s="9">
        <f t="shared" si="33"/>
        <v>13.074305447354561</v>
      </c>
      <c r="AF50" s="9">
        <f>AF$14</f>
        <v>13693.377069999999</v>
      </c>
      <c r="AG50" s="9">
        <f>AG$14</f>
        <v>13846.653109999999</v>
      </c>
      <c r="AH50" s="9">
        <f t="shared" si="29"/>
        <v>-153.27604000000065</v>
      </c>
      <c r="AI50" s="9">
        <f t="shared" si="30"/>
        <v>-1.1069537077469305</v>
      </c>
      <c r="AK50" s="9">
        <v>426087</v>
      </c>
      <c r="AL50" s="9">
        <v>426087</v>
      </c>
      <c r="AM50" s="9">
        <f t="shared" si="31"/>
        <v>0</v>
      </c>
      <c r="AN50" s="9">
        <f t="shared" si="32"/>
        <v>0</v>
      </c>
    </row>
    <row r="51" spans="1:46" s="9" customFormat="1" ht="12.75" customHeight="1" x14ac:dyDescent="0.25"/>
    <row r="52" spans="1:46" s="12" customFormat="1" ht="20.100000000000001" customHeight="1" x14ac:dyDescent="0.3">
      <c r="A52" s="14" t="s">
        <v>53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6" s="9" customFormat="1" ht="15" customHeight="1" x14ac:dyDescent="0.25">
      <c r="A53" s="11" t="s">
        <v>54</v>
      </c>
      <c r="B53" s="9">
        <f>+'[5]financial profile(mcso)'!$D$26</f>
        <v>31147.325239999998</v>
      </c>
      <c r="C53" s="9">
        <v>27411.769059999999</v>
      </c>
      <c r="D53" s="9">
        <f>B53-C53</f>
        <v>3735.5561799999996</v>
      </c>
      <c r="E53" s="9">
        <f>D53/C53*100</f>
        <v>13.627563298900784</v>
      </c>
      <c r="G53" s="9">
        <f>+'[5]financial profile(mcso)'!$D$27</f>
        <v>359472.89047000004</v>
      </c>
      <c r="H53" s="9">
        <v>347566.75847</v>
      </c>
      <c r="I53" s="9">
        <f>G53-H53</f>
        <v>11906.132000000041</v>
      </c>
      <c r="J53" s="9">
        <f>I53/H53*100</f>
        <v>3.4255669478897279</v>
      </c>
      <c r="L53" s="9">
        <f>+'[5]financial profile(mcso)'!$D$28</f>
        <v>433628.30539999995</v>
      </c>
      <c r="M53" s="9">
        <v>389626.75776999997</v>
      </c>
      <c r="N53" s="9">
        <f>L53-M53</f>
        <v>44001.547629999986</v>
      </c>
      <c r="O53" s="9">
        <f>N53/M53*100</f>
        <v>11.293256110499083</v>
      </c>
      <c r="Q53" s="9">
        <f>+'[5]financial profile(mcso)'!$D$29</f>
        <v>309811.96066000004</v>
      </c>
      <c r="R53" s="9">
        <v>294877.67266000004</v>
      </c>
      <c r="S53" s="9">
        <f>Q53-R53</f>
        <v>14934.288</v>
      </c>
      <c r="T53" s="9">
        <f>S53/R53*100</f>
        <v>5.0645706286550691</v>
      </c>
      <c r="V53" s="9">
        <f>+'[5]financial profile(mcso)'!$D$30</f>
        <v>77542.302510000009</v>
      </c>
      <c r="W53" s="9">
        <v>72952.802510000009</v>
      </c>
      <c r="X53" s="9">
        <f>V53-W53</f>
        <v>4589.5</v>
      </c>
      <c r="Y53" s="9">
        <f>X53/W53*100</f>
        <v>6.2910537252779202</v>
      </c>
      <c r="AA53" s="9">
        <f>+'[5]financial profile(mcso)'!$D$31</f>
        <v>42435.988440000001</v>
      </c>
      <c r="AB53" s="9">
        <v>42435.988440000001</v>
      </c>
      <c r="AC53" s="9">
        <f>AA53-AB53</f>
        <v>0</v>
      </c>
      <c r="AD53" s="9">
        <f>AC53/AB53*100</f>
        <v>0</v>
      </c>
      <c r="AF53" s="9">
        <f>+'[5]financial profile(mcso)'!$D$32</f>
        <v>27181.808359999999</v>
      </c>
      <c r="AG53" s="9">
        <v>27181.808359999999</v>
      </c>
      <c r="AH53" s="9">
        <v>0</v>
      </c>
      <c r="AI53" s="9">
        <v>0</v>
      </c>
      <c r="AK53" s="9">
        <f>+B53+G53+L53+Q53+V53+AA53+AF53</f>
        <v>1281220.5810799999</v>
      </c>
      <c r="AL53" s="9">
        <f>+C53+H53+M53+R53+W53+AB53+AG53</f>
        <v>1202053.55727</v>
      </c>
      <c r="AM53" s="9">
        <f>AK53-AL53</f>
        <v>79167.023809999926</v>
      </c>
      <c r="AN53" s="9">
        <f>AM53/AL53*100</f>
        <v>6.5859814091642654</v>
      </c>
    </row>
    <row r="54" spans="1:46" s="9" customFormat="1" ht="15" customHeight="1" x14ac:dyDescent="0.25">
      <c r="A54" s="11" t="s">
        <v>55</v>
      </c>
      <c r="B54" s="9">
        <f>+'[5]financial profile(mcso)'!$E$26</f>
        <v>31147.325219999999</v>
      </c>
      <c r="C54" s="9">
        <v>28134.76684</v>
      </c>
      <c r="D54" s="9">
        <f>B54-C54</f>
        <v>3012.5583799999986</v>
      </c>
      <c r="E54" s="9">
        <f>D54/C54*100</f>
        <v>10.707600305103501</v>
      </c>
      <c r="G54" s="9">
        <f>+'[5]financial profile(mcso)'!$E$27</f>
        <v>377378.15229</v>
      </c>
      <c r="H54" s="9">
        <v>365472.02029000001</v>
      </c>
      <c r="I54" s="9">
        <f>G54-H54</f>
        <v>11906.131999999983</v>
      </c>
      <c r="J54" s="9">
        <f>I54/H54*100</f>
        <v>3.2577410414489556</v>
      </c>
      <c r="L54" s="9">
        <f>+'[5]financial profile(mcso)'!$E$28</f>
        <v>454749.88338999997</v>
      </c>
      <c r="M54" s="9">
        <v>410709.19338999997</v>
      </c>
      <c r="N54" s="9">
        <f>L54-M54</f>
        <v>44040.69</v>
      </c>
      <c r="O54" s="9">
        <f>N54/M54*100</f>
        <v>10.723083561019775</v>
      </c>
      <c r="Q54" s="9">
        <f>+'[5]financial profile(mcso)'!$E$29</f>
        <v>309973.29016999999</v>
      </c>
      <c r="R54" s="9">
        <v>295039.00216999999</v>
      </c>
      <c r="S54" s="9">
        <f>Q54-R54</f>
        <v>14934.288</v>
      </c>
      <c r="T54" s="9">
        <f>S54/R54*100</f>
        <v>5.0618012839519233</v>
      </c>
      <c r="V54" s="9">
        <f>+'[5]financial profile(mcso)'!$E$30</f>
        <v>78695.405020000006</v>
      </c>
      <c r="W54" s="9">
        <v>74105.905020000006</v>
      </c>
      <c r="X54" s="9">
        <f>V54-W54</f>
        <v>4589.5</v>
      </c>
      <c r="Y54" s="9">
        <f>X54/W54*100</f>
        <v>6.1931636875109577</v>
      </c>
      <c r="AA54" s="9">
        <f>+'[5]financial profile(mcso)'!$E$31</f>
        <v>42435.988760000051</v>
      </c>
      <c r="AB54" s="9">
        <v>42435.988760000051</v>
      </c>
      <c r="AC54" s="9">
        <f>AA54-AB54</f>
        <v>0</v>
      </c>
      <c r="AD54" s="9">
        <f>AC54/AB54*100</f>
        <v>0</v>
      </c>
      <c r="AF54" s="9">
        <f>+'[5]financial profile(mcso)'!$E$32</f>
        <v>27181.808359999999</v>
      </c>
      <c r="AG54" s="9">
        <v>27181.808359999999</v>
      </c>
      <c r="AH54" s="9">
        <v>-0.48435999999855994</v>
      </c>
      <c r="AI54" s="9">
        <v>-1.7816205787579073E-3</v>
      </c>
      <c r="AK54" s="9">
        <f>+B54+G54+L54+Q54+V54+AA54+AF54</f>
        <v>1321561.8532099999</v>
      </c>
      <c r="AL54" s="9">
        <f>+C54+H54+M54+R54+W54+AB54+AG54</f>
        <v>1243078.6848299999</v>
      </c>
      <c r="AM54" s="9">
        <f>AK54-AL54</f>
        <v>78483.16837999993</v>
      </c>
      <c r="AN54" s="9">
        <f>AM54/AL54*100</f>
        <v>6.3136122707094025</v>
      </c>
    </row>
    <row r="55" spans="1:46" s="10" customFormat="1" ht="15" customHeight="1" x14ac:dyDescent="0.25">
      <c r="A55" s="27" t="s">
        <v>56</v>
      </c>
      <c r="B55" s="10">
        <f>+'[5]financial profile(mcso)'!$I$26</f>
        <v>2.5033575651789842E-8</v>
      </c>
      <c r="C55" s="10">
        <v>-0.95816119952078738</v>
      </c>
      <c r="D55" s="10">
        <f>B55-C55</f>
        <v>0.95816122455436303</v>
      </c>
      <c r="E55" s="9">
        <f>D55/C55*100</f>
        <v>-100.00000261266848</v>
      </c>
      <c r="G55" s="10">
        <f>+'[5]financial profile(mcso)'!$I$27</f>
        <v>-6.0154756624569448</v>
      </c>
      <c r="H55" s="10">
        <v>-6.0154756624569643</v>
      </c>
      <c r="I55" s="10">
        <f>G55-H55</f>
        <v>1.9539925233402755E-14</v>
      </c>
      <c r="J55" s="9">
        <f>I55/H55*100</f>
        <v>-3.2482760017387981E-13</v>
      </c>
      <c r="L55" s="10">
        <f>+'[5]financial profile(mcso)'!$I$28</f>
        <v>-2.0615013509047597</v>
      </c>
      <c r="M55" s="10">
        <v>-1.9165181524572237</v>
      </c>
      <c r="N55" s="10">
        <f>L55-M55</f>
        <v>-0.14498319844753604</v>
      </c>
      <c r="O55" s="9">
        <f>N55/M55*100</f>
        <v>7.5649269620352344</v>
      </c>
      <c r="Q55" s="10">
        <f>+'[5]financial profile(mcso)'!$I$29</f>
        <v>-4.3210499221644119E-2</v>
      </c>
      <c r="R55" s="10">
        <v>-4.3210499221644119E-2</v>
      </c>
      <c r="S55" s="10">
        <f>Q55-R55</f>
        <v>0</v>
      </c>
      <c r="T55" s="9">
        <f>S55/R55*100</f>
        <v>0</v>
      </c>
      <c r="V55" s="10">
        <f>+'[5]financial profile(mcso)'!$I$30</f>
        <v>0</v>
      </c>
      <c r="W55" s="10">
        <v>0</v>
      </c>
      <c r="X55" s="10">
        <f>V55-W55</f>
        <v>0</v>
      </c>
      <c r="Y55" s="9"/>
      <c r="AA55" s="10">
        <f>+'[5]financial profile(mcso)'!$I$31</f>
        <v>0</v>
      </c>
      <c r="AB55" s="10">
        <v>0</v>
      </c>
      <c r="AC55" s="10">
        <f>AA55-AB55</f>
        <v>0</v>
      </c>
      <c r="AD55" s="9"/>
      <c r="AF55" s="10">
        <f>+'[5]financial profile(mcso)'!$I$32</f>
        <v>0</v>
      </c>
      <c r="AG55" s="10">
        <v>0</v>
      </c>
      <c r="AH55" s="10">
        <v>0</v>
      </c>
      <c r="AI55" s="9"/>
      <c r="AJ55" s="9"/>
      <c r="AK55" s="10">
        <f>+'[5]financial profile(mcso)'!$I$33</f>
        <v>-2.1342179811135567</v>
      </c>
      <c r="AL55" s="10">
        <v>-2.0917919593041767</v>
      </c>
      <c r="AM55" s="10">
        <f>AK55-AL55</f>
        <v>-4.2426021809379932E-2</v>
      </c>
      <c r="AN55" s="9">
        <f>AM55/AL55*100</f>
        <v>2.0282142122533409</v>
      </c>
    </row>
    <row r="56" spans="1:46" s="9" customFormat="1" ht="14.25" customHeight="1" x14ac:dyDescent="0.25">
      <c r="A56" s="11" t="s">
        <v>57</v>
      </c>
      <c r="B56" s="9">
        <f>+'[5]financial profile(mcso)'!$F$26</f>
        <v>1.9999999494757503E-5</v>
      </c>
      <c r="C56" s="9">
        <v>-722.99778000000151</v>
      </c>
      <c r="D56" s="9">
        <f>B56-C56</f>
        <v>722.99780000000101</v>
      </c>
      <c r="E56" s="9">
        <f>D56/C56*100</f>
        <v>-100.00000276626015</v>
      </c>
      <c r="G56" s="9">
        <f>+'[5]financial profile(mcso)'!$F$27</f>
        <v>-17905.261819999956</v>
      </c>
      <c r="H56" s="9">
        <v>-17905.261820000014</v>
      </c>
      <c r="I56" s="9">
        <f>G56-H56</f>
        <v>5.8207660913467407E-11</v>
      </c>
      <c r="J56" s="9">
        <f>I56/H56*100</f>
        <v>-3.2508690182039103E-13</v>
      </c>
      <c r="L56" s="9">
        <f>+'[5]financial profile(mcso)'!$F$28</f>
        <v>-21121.57799000002</v>
      </c>
      <c r="M56" s="9">
        <v>-21082.435620000004</v>
      </c>
      <c r="N56" s="9">
        <f>L56-M56</f>
        <v>-39.142370000015944</v>
      </c>
      <c r="O56" s="9">
        <f>N56/M56*100</f>
        <v>0.18566341529762934</v>
      </c>
      <c r="Q56" s="9">
        <f>+'[5]financial profile(mcso)'!$F$29</f>
        <v>-161.32950999995228</v>
      </c>
      <c r="R56" s="9">
        <v>-161.32950999995228</v>
      </c>
      <c r="S56" s="9">
        <f>Q56-R56</f>
        <v>0</v>
      </c>
      <c r="T56" s="9">
        <f>S56/R56*100</f>
        <v>0</v>
      </c>
      <c r="V56" s="9">
        <f>+'[5]financial profile(mcso)'!$F$30</f>
        <v>-1153.102509999997</v>
      </c>
      <c r="W56" s="9">
        <v>-1153.102509999997</v>
      </c>
      <c r="X56" s="9">
        <f>V56-W56</f>
        <v>0</v>
      </c>
      <c r="Y56" s="9">
        <f>X56/W56*100</f>
        <v>0</v>
      </c>
      <c r="AA56" s="9">
        <f>+'[5]financial profile(mcso)'!$F$31</f>
        <v>-3.2000005012378097E-4</v>
      </c>
      <c r="AB56" s="9">
        <v>-3.2000005012378097E-4</v>
      </c>
      <c r="AC56" s="9">
        <f>AA56-AB56</f>
        <v>0</v>
      </c>
      <c r="AF56" s="9">
        <f>+'[5]financial profile(mcso)'!$F$32</f>
        <v>0</v>
      </c>
      <c r="AG56" s="9">
        <v>0</v>
      </c>
      <c r="AH56" s="9">
        <v>-1.7800000024728035E-3</v>
      </c>
      <c r="AI56" s="9">
        <v>3.8212020953792405E-2</v>
      </c>
      <c r="AK56" s="9">
        <f>+B56+G56+L56+Q56+V56+AA56+AF56</f>
        <v>-40341.272129999976</v>
      </c>
      <c r="AL56" s="9">
        <f>+C56+H56+M56+R56+W56+AB56+AG56</f>
        <v>-41025.127560000023</v>
      </c>
      <c r="AM56" s="9">
        <f>AK56-AL56</f>
        <v>683.85543000004691</v>
      </c>
      <c r="AN56" s="9">
        <f>AM56/AL56*100</f>
        <v>-1.6669184733183229</v>
      </c>
    </row>
    <row r="57" spans="1:46" s="9" customFormat="1" x14ac:dyDescent="0.25">
      <c r="A57" s="11" t="s">
        <v>58</v>
      </c>
      <c r="B57" s="9">
        <f>+'[5]financial profile(mcso)'!$K$26</f>
        <v>22853.437020000001</v>
      </c>
      <c r="C57" s="9">
        <v>25853.759420000002</v>
      </c>
      <c r="D57" s="9">
        <f>B57-C57</f>
        <v>-3000.3224000000009</v>
      </c>
      <c r="E57" s="9">
        <f>D57/C57*100</f>
        <v>-11.60497532006508</v>
      </c>
      <c r="G57" s="9">
        <f>+'[5]financial profile(mcso)'!$K$27</f>
        <v>34402.974560000002</v>
      </c>
      <c r="H57" s="9">
        <v>43349.94356</v>
      </c>
      <c r="I57" s="9">
        <f>G57-H57</f>
        <v>-8946.9689999999973</v>
      </c>
      <c r="J57" s="9">
        <f>I57/H57*100</f>
        <v>-20.63894036590067</v>
      </c>
      <c r="L57" s="9">
        <f>+'[5]financial profile(mcso)'!$K$28</f>
        <v>230664.59315</v>
      </c>
      <c r="M57" s="9">
        <v>259447.82815000002</v>
      </c>
      <c r="N57" s="9">
        <f>L57-M57</f>
        <v>-28783.235000000015</v>
      </c>
      <c r="O57" s="9">
        <f>N57/M57*100</f>
        <v>-11.094035824173082</v>
      </c>
      <c r="Q57" s="9">
        <f>+'[5]financial profile(mcso)'!$K$29</f>
        <v>60510.815369999997</v>
      </c>
      <c r="R57" s="9">
        <v>71561.820370000001</v>
      </c>
      <c r="S57" s="9">
        <f>Q57-R57</f>
        <v>-11051.005000000005</v>
      </c>
      <c r="T57" s="9">
        <f>S57/R57*100</f>
        <v>-15.442599060312311</v>
      </c>
      <c r="V57" s="9">
        <f>+'[5]financial profile(mcso)'!$K$30</f>
        <v>23773.7883</v>
      </c>
      <c r="W57" s="9">
        <v>27477.6253</v>
      </c>
      <c r="X57" s="9">
        <f>V57-W57</f>
        <v>-3703.8369999999995</v>
      </c>
      <c r="Y57" s="9">
        <f>X57/W57*100</f>
        <v>-13.479465417995925</v>
      </c>
      <c r="AA57" s="9">
        <f>+'[5]financial profile(mcso)'!$K$31</f>
        <v>-5.9999999999999995E-5</v>
      </c>
      <c r="AB57" s="9">
        <v>-5.9999999999999995E-5</v>
      </c>
      <c r="AC57" s="9">
        <f>AA57-AB57</f>
        <v>0</v>
      </c>
      <c r="AD57" s="9">
        <f>AC57/AB57*100</f>
        <v>0</v>
      </c>
      <c r="AF57" s="9">
        <f>+'[5]financial profile(mcso)'!$K$32</f>
        <v>0</v>
      </c>
      <c r="AG57" s="9">
        <v>0</v>
      </c>
      <c r="AH57" s="9">
        <v>0</v>
      </c>
      <c r="AK57" s="9">
        <f>+B57+G57+L57+Q57+V57+AA57+AF57</f>
        <v>372205.60834000004</v>
      </c>
      <c r="AL57" s="9">
        <f>+C57+H57+M57+R57+W57+AB57+AG57</f>
        <v>427690.97674000001</v>
      </c>
      <c r="AM57" s="9">
        <f>AK57-AL57</f>
        <v>-55485.368399999978</v>
      </c>
      <c r="AN57" s="9">
        <f>AM57/AL57*100</f>
        <v>-12.973238019405397</v>
      </c>
    </row>
    <row r="58" spans="1:46" s="15" customFormat="1" ht="12.75" customHeight="1" x14ac:dyDescent="0.25">
      <c r="B58" s="21">
        <f>B60/B61*100</f>
        <v>0</v>
      </c>
      <c r="C58" s="21">
        <f>C60/C61*100</f>
        <v>0</v>
      </c>
      <c r="D58" s="21"/>
      <c r="E58" s="21"/>
      <c r="F58" s="21"/>
      <c r="G58" s="21">
        <f>G60/G61*100</f>
        <v>0</v>
      </c>
      <c r="H58" s="21">
        <f>H60/H61*100</f>
        <v>0</v>
      </c>
      <c r="I58" s="21"/>
      <c r="J58" s="21"/>
      <c r="K58" s="21"/>
      <c r="L58" s="21">
        <f>L60/L61*100</f>
        <v>0</v>
      </c>
      <c r="M58" s="21">
        <f>M60/M61*100</f>
        <v>0</v>
      </c>
      <c r="N58" s="21"/>
      <c r="O58" s="21"/>
      <c r="P58" s="21"/>
      <c r="Q58" s="21">
        <f>Q60/Q61*100</f>
        <v>0</v>
      </c>
      <c r="R58" s="21">
        <f>R60/R61*100</f>
        <v>0</v>
      </c>
      <c r="S58" s="21"/>
      <c r="T58" s="21"/>
      <c r="U58" s="21"/>
      <c r="V58" s="9"/>
      <c r="W58" s="9"/>
      <c r="X58" s="9"/>
      <c r="Y58" s="9"/>
      <c r="Z58" s="21"/>
      <c r="AA58" s="21">
        <f>AA60/AA61*100</f>
        <v>0</v>
      </c>
      <c r="AB58" s="21">
        <f>AB60/AB61*100</f>
        <v>0</v>
      </c>
      <c r="AC58" s="21"/>
      <c r="AD58" s="21"/>
      <c r="AE58" s="21"/>
      <c r="AF58" s="21">
        <f>AF60/AF61*100</f>
        <v>0</v>
      </c>
      <c r="AG58" s="21">
        <f>AG60/AG61*100</f>
        <v>0</v>
      </c>
      <c r="AH58" s="21"/>
      <c r="AI58" s="21"/>
      <c r="AJ58" s="21"/>
      <c r="AK58" s="21"/>
      <c r="AL58" s="21"/>
      <c r="AM58" s="21"/>
      <c r="AN58" s="21"/>
    </row>
    <row r="59" spans="1:46" s="16" customFormat="1" ht="15.6" x14ac:dyDescent="0.3">
      <c r="A59" s="14" t="s">
        <v>59</v>
      </c>
      <c r="B59" s="22">
        <f>VLOOKUP(B7,[6]Sheet1!$A$13:$C$55,3,)</f>
        <v>6.17829427514486</v>
      </c>
      <c r="C59" s="22">
        <f>VLOOKUP(C7,[6]Sheet1!$A$13:$C$55,3,)</f>
        <v>6.17829427514486</v>
      </c>
      <c r="D59" s="22"/>
      <c r="E59" s="22"/>
      <c r="F59" s="22"/>
      <c r="G59" s="22">
        <f>VLOOKUP(G7,[6]Sheet1!$A$13:$C$55,3,)</f>
        <v>11.296233287056401</v>
      </c>
      <c r="H59" s="22">
        <f>VLOOKUP(H7,[6]Sheet1!$A$13:$C$55,3,)</f>
        <v>11.296233287056401</v>
      </c>
      <c r="I59" s="22"/>
      <c r="J59" s="22"/>
      <c r="K59" s="22"/>
      <c r="L59" s="22">
        <f>VLOOKUP(L7,[6]Sheet1!$A$13:$C$55,3,)</f>
        <v>9.4590398951028494</v>
      </c>
      <c r="M59" s="22">
        <f>VLOOKUP(M7,[6]Sheet1!$A$13:$C$55,3,)</f>
        <v>9.4590398951028494</v>
      </c>
      <c r="N59" s="22"/>
      <c r="O59" s="22"/>
      <c r="P59" s="22"/>
      <c r="Q59" s="22">
        <f>VLOOKUP(Q7,[6]Sheet1!$A$13:$C$55,3,)</f>
        <v>11.4368541107787</v>
      </c>
      <c r="R59" s="22">
        <f>VLOOKUP(R7,[6]Sheet1!$A$13:$C$55,3,)</f>
        <v>11.4368541107787</v>
      </c>
      <c r="S59" s="22"/>
      <c r="T59" s="22"/>
      <c r="U59" s="22"/>
      <c r="V59" s="23"/>
      <c r="W59" s="23"/>
      <c r="X59" s="23"/>
      <c r="Y59" s="23"/>
      <c r="Z59" s="22"/>
      <c r="AA59" s="22">
        <f>VLOOKUP(AA7,[6]Sheet1!$A$13:$C$55,3,)</f>
        <v>7.0042831606013101</v>
      </c>
      <c r="AB59" s="22">
        <f>VLOOKUP(AB7,[6]Sheet1!$A$13:$C$55,3,)</f>
        <v>7.0042831606013101</v>
      </c>
      <c r="AC59" s="22"/>
      <c r="AD59" s="22"/>
      <c r="AE59" s="22"/>
      <c r="AF59" s="22">
        <f>VLOOKUP(AF7,[6]Sheet1!$A$13:$C$55,3,)</f>
        <v>11.359199638757399</v>
      </c>
      <c r="AG59" s="22">
        <f>VLOOKUP(AG7,[6]Sheet1!$A$13:$C$55,3,)</f>
        <v>11.359199638757399</v>
      </c>
      <c r="AH59" s="22"/>
      <c r="AI59" s="22"/>
      <c r="AJ59" s="22"/>
      <c r="AK59" s="22"/>
      <c r="AL59" s="22"/>
      <c r="AM59" s="22"/>
      <c r="AN59" s="22"/>
    </row>
    <row r="60" spans="1:46" s="17" customFormat="1" ht="15.6" x14ac:dyDescent="0.3">
      <c r="B60" s="23"/>
      <c r="C60" s="23"/>
      <c r="D60" s="9"/>
      <c r="E60" s="9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6" s="9" customFormat="1" ht="15" customHeight="1" x14ac:dyDescent="0.25">
      <c r="A61" s="11" t="s">
        <v>60</v>
      </c>
      <c r="B61" s="9">
        <v>5807.5534000000007</v>
      </c>
      <c r="C61" s="9">
        <v>5495.2028</v>
      </c>
      <c r="D61" s="9">
        <f>B61-C61</f>
        <v>312.35060000000067</v>
      </c>
      <c r="E61" s="9">
        <f>D61/C61*100</f>
        <v>5.684059558275095</v>
      </c>
      <c r="G61" s="9">
        <v>180593.046</v>
      </c>
      <c r="H61" s="9">
        <v>164458.53699999998</v>
      </c>
      <c r="I61" s="9">
        <f>G61-H61</f>
        <v>16134.50900000002</v>
      </c>
      <c r="J61" s="9">
        <f>I61/H61*100</f>
        <v>9.8106849874263578</v>
      </c>
      <c r="L61" s="9">
        <v>103335.30056516627</v>
      </c>
      <c r="M61" s="9">
        <v>101861.44690000001</v>
      </c>
      <c r="N61" s="9">
        <f>L61-M61</f>
        <v>1473.853665166258</v>
      </c>
      <c r="O61" s="9">
        <f>N61/M61*100</f>
        <v>1.4469200173576739</v>
      </c>
      <c r="Q61" s="9">
        <v>270194.85509999999</v>
      </c>
      <c r="R61" s="9">
        <v>266007.42910000001</v>
      </c>
      <c r="S61" s="9">
        <f>Q61-R61</f>
        <v>4187.4259999999776</v>
      </c>
      <c r="T61" s="9">
        <f>S61/R61*100</f>
        <v>1.5741763356638441</v>
      </c>
      <c r="V61" s="9">
        <v>147495.35800000001</v>
      </c>
      <c r="W61" s="9">
        <v>145252.451</v>
      </c>
      <c r="X61" s="9">
        <f>V61-W61</f>
        <v>2242.9070000000065</v>
      </c>
      <c r="Y61" s="9">
        <f>X61/W61*100</f>
        <v>1.5441439952018479</v>
      </c>
      <c r="AA61" s="9">
        <v>87492.252200000003</v>
      </c>
      <c r="AB61" s="9">
        <v>161440.20838000003</v>
      </c>
      <c r="AC61" s="9">
        <f>AA61-AB61</f>
        <v>-73947.956180000023</v>
      </c>
      <c r="AD61" s="9">
        <f>AC61/AB61*100</f>
        <v>-45.805166458866545</v>
      </c>
      <c r="AF61" s="9">
        <v>29399.957999999999</v>
      </c>
      <c r="AG61" s="9">
        <v>29340.951000000001</v>
      </c>
      <c r="AH61" s="9">
        <f>AF61-AG61</f>
        <v>59.006999999997788</v>
      </c>
      <c r="AI61" s="9">
        <f>AH61/AG61*100</f>
        <v>0.20110800089607794</v>
      </c>
      <c r="AK61" s="9">
        <f t="shared" ref="AK61:AL63" si="35">B61+G61+L61+Q61+V61+AA61+AF61</f>
        <v>824318.32326516625</v>
      </c>
      <c r="AL61" s="9">
        <f t="shared" si="35"/>
        <v>873856.22618000011</v>
      </c>
      <c r="AM61" s="9">
        <f>AK61-AL61</f>
        <v>-49537.90291483386</v>
      </c>
      <c r="AN61" s="9">
        <f>AM61/AL61*100</f>
        <v>-5.6688848154558853</v>
      </c>
    </row>
    <row r="62" spans="1:46" s="9" customFormat="1" ht="15" customHeight="1" x14ac:dyDescent="0.25">
      <c r="A62" s="11" t="s">
        <v>61</v>
      </c>
      <c r="B62" s="9">
        <v>5385.6938200000004</v>
      </c>
      <c r="C62" s="9">
        <v>5142.2920000000004</v>
      </c>
      <c r="D62" s="9">
        <f>B62-C62</f>
        <v>243.40182000000004</v>
      </c>
      <c r="E62" s="9">
        <f>D62/C62*100</f>
        <v>4.7333333074045587</v>
      </c>
      <c r="G62" s="9">
        <v>159858.37400000001</v>
      </c>
      <c r="H62" s="9">
        <v>145681.00399999999</v>
      </c>
      <c r="I62" s="9">
        <f>G62-H62</f>
        <v>14177.370000000024</v>
      </c>
      <c r="J62" s="9">
        <f>I62/H62*100</f>
        <v>9.7317904261560582</v>
      </c>
      <c r="L62" s="9">
        <v>92985.698999999993</v>
      </c>
      <c r="M62" s="9">
        <v>91999.963000000003</v>
      </c>
      <c r="N62" s="9">
        <f>L62-M62</f>
        <v>985.73599999998987</v>
      </c>
      <c r="O62" s="9">
        <f>N62/M62*100</f>
        <v>1.0714526048233193</v>
      </c>
      <c r="Q62" s="9">
        <v>238673.23995999998</v>
      </c>
      <c r="R62" s="9">
        <v>235036.42881000001</v>
      </c>
      <c r="S62" s="9">
        <f>Q62-R62</f>
        <v>3636.811149999965</v>
      </c>
      <c r="T62" s="9">
        <f>S62/R62*100</f>
        <v>1.5473393500800294</v>
      </c>
      <c r="V62" s="9">
        <v>128486.579</v>
      </c>
      <c r="W62" s="9">
        <v>126417.13099999999</v>
      </c>
      <c r="X62" s="9">
        <f>V62-W62</f>
        <v>2069.448000000004</v>
      </c>
      <c r="Y62" s="9">
        <f>X62/W62*100</f>
        <v>1.6369996563203162</v>
      </c>
      <c r="AA62" s="9">
        <v>76475.011040000012</v>
      </c>
      <c r="AB62" s="9">
        <v>149945.22105000002</v>
      </c>
      <c r="AC62" s="9">
        <f>AA62-AB62</f>
        <v>-73470.21001000001</v>
      </c>
      <c r="AD62" s="9">
        <f>AC62/AB62*100</f>
        <v>-48.998033745604324</v>
      </c>
      <c r="AF62" s="9">
        <v>25720.165499999999</v>
      </c>
      <c r="AG62" s="9">
        <v>26008.053800000002</v>
      </c>
      <c r="AH62" s="9">
        <f>AF62-AG62</f>
        <v>-287.88830000000235</v>
      </c>
      <c r="AI62" s="9">
        <f>AH62/AG62*100</f>
        <v>-1.1069198111240539</v>
      </c>
      <c r="AK62" s="9">
        <f t="shared" si="35"/>
        <v>727584.76231999998</v>
      </c>
      <c r="AL62" s="9">
        <f t="shared" si="35"/>
        <v>780230.09366000001</v>
      </c>
      <c r="AM62" s="9">
        <f>AK62-AL62</f>
        <v>-52645.331340000033</v>
      </c>
      <c r="AN62" s="9">
        <f>AM62/AL62*100</f>
        <v>-6.7474110224388788</v>
      </c>
    </row>
    <row r="63" spans="1:46" s="9" customFormat="1" ht="15" customHeight="1" x14ac:dyDescent="0.25">
      <c r="A63" s="11" t="s">
        <v>62</v>
      </c>
      <c r="B63" s="9">
        <v>14.441000000000001</v>
      </c>
      <c r="C63" s="9">
        <v>13.401</v>
      </c>
      <c r="D63" s="9">
        <f>B63-C63</f>
        <v>1.0400000000000009</v>
      </c>
      <c r="E63" s="9">
        <f>D63/C63*100</f>
        <v>7.7606148794866128</v>
      </c>
      <c r="G63" s="9">
        <v>252.27199999999999</v>
      </c>
      <c r="H63" s="9">
        <f>VLOOKUP(H7,[6]Sheet1!$A$13:$F$55,6,)/1000</f>
        <v>199.91300000000001</v>
      </c>
      <c r="I63" s="9">
        <f>G63-H63</f>
        <v>52.35899999999998</v>
      </c>
      <c r="J63" s="9">
        <f>I63/H63*100</f>
        <v>26.190893038471724</v>
      </c>
      <c r="L63" s="9">
        <v>224.44499999999999</v>
      </c>
      <c r="M63" s="9">
        <f>VLOOKUP(M7,[6]Sheet1!$A$13:$F$55,6,)/1000</f>
        <v>226.369</v>
      </c>
      <c r="N63" s="9">
        <f>L63-M63</f>
        <v>-1.9240000000000066</v>
      </c>
      <c r="O63" s="9">
        <f>N63/M63*100</f>
        <v>-0.84993970022397347</v>
      </c>
      <c r="Q63" s="9">
        <v>555.0933</v>
      </c>
      <c r="R63" s="9">
        <f>VLOOKUP(R7,[6]Sheet1!$A$13:$F$55,6,)/1000</f>
        <v>548.11869999999999</v>
      </c>
      <c r="S63" s="9">
        <f>Q63-R63</f>
        <v>6.9746000000000095</v>
      </c>
      <c r="T63" s="9">
        <f>S63/R63*100</f>
        <v>1.2724616036635878</v>
      </c>
      <c r="V63" s="9">
        <v>383.50850000000003</v>
      </c>
      <c r="W63" s="9">
        <v>268.39499999999998</v>
      </c>
      <c r="X63" s="9">
        <f>V63-W63</f>
        <v>115.11350000000004</v>
      </c>
      <c r="Y63" s="9">
        <f>X63/W63*100</f>
        <v>42.889584381229177</v>
      </c>
      <c r="AA63" s="9">
        <v>199.90600000000001</v>
      </c>
      <c r="AB63" s="9">
        <f>VLOOKUP(AB7,[6]Sheet1!$A$13:$F$55,6,)/1000</f>
        <v>187.25800000000001</v>
      </c>
      <c r="AC63" s="9">
        <f>AA63-AB63</f>
        <v>12.647999999999996</v>
      </c>
      <c r="AD63" s="9">
        <f>AC63/AB63*100</f>
        <v>6.7543175725469657</v>
      </c>
      <c r="AF63" s="9">
        <v>0</v>
      </c>
      <c r="AG63" s="9">
        <v>0</v>
      </c>
      <c r="AH63" s="9">
        <f>AF63-AG63</f>
        <v>0</v>
      </c>
      <c r="AK63" s="9">
        <f t="shared" si="35"/>
        <v>1629.6657999999998</v>
      </c>
      <c r="AL63" s="9">
        <f t="shared" si="35"/>
        <v>1443.4547</v>
      </c>
      <c r="AM63" s="9">
        <f>AK63-AL63</f>
        <v>186.21109999999976</v>
      </c>
      <c r="AN63" s="9">
        <f>AM63/AL63*100</f>
        <v>12.900377129950789</v>
      </c>
      <c r="AQ63" s="10"/>
      <c r="AR63" s="10"/>
      <c r="AS63" s="10"/>
      <c r="AT63" s="10"/>
    </row>
    <row r="64" spans="1:46" s="10" customFormat="1" ht="15" customHeight="1" x14ac:dyDescent="0.25">
      <c r="A64" s="27" t="s">
        <v>63</v>
      </c>
      <c r="B64" s="10">
        <f>SUM(B61-B62-B63)/B61*100</f>
        <v>7.0153221492548008</v>
      </c>
      <c r="C64" s="10">
        <f>SUM(C61-C62-C63)/C61*100</f>
        <v>6.1782942751448529</v>
      </c>
      <c r="E64" s="10">
        <f>B64-C64</f>
        <v>0.83702787410994794</v>
      </c>
      <c r="G64" s="10">
        <f>SUM(G61-G62-G63)/G61*100</f>
        <v>11.341743468904108</v>
      </c>
      <c r="H64" s="10">
        <v>11.29</v>
      </c>
      <c r="J64" s="10">
        <f>G64-H64</f>
        <v>5.1743468904108525E-2</v>
      </c>
      <c r="L64" s="10">
        <f>SUM(L61-L62-L63)/L61*100</f>
        <v>9.7983520730953462</v>
      </c>
      <c r="M64" s="10">
        <v>9.4499999999999993</v>
      </c>
      <c r="O64" s="10">
        <f>L64-M64</f>
        <v>0.34835207309534688</v>
      </c>
      <c r="Q64" s="10">
        <f t="shared" ref="Q64:R64" si="36">SUM(Q61-Q62-Q63)/Q61*100</f>
        <v>11.460811061165172</v>
      </c>
      <c r="R64" s="10">
        <f t="shared" si="36"/>
        <v>11.436854110778667</v>
      </c>
      <c r="T64" s="10">
        <f>Q64-R64</f>
        <v>2.3956950386505582E-2</v>
      </c>
      <c r="V64" s="10">
        <f t="shared" ref="V64:W64" si="37">SUM(V61-V62-V63)/V61*100</f>
        <v>12.627699442581786</v>
      </c>
      <c r="W64" s="10">
        <f t="shared" si="37"/>
        <v>12.782520964138502</v>
      </c>
      <c r="Y64" s="10">
        <f>V64-W64</f>
        <v>-0.15482152155671614</v>
      </c>
      <c r="AA64" s="10">
        <f>SUM(AA61-AA62-AA63)/AA61*100</f>
        <v>12.363763519622815</v>
      </c>
      <c r="AB64" s="10">
        <f>SUM(AB61-AB62-AB63)/AB61*100</f>
        <v>7.0042831606013083</v>
      </c>
      <c r="AD64" s="10">
        <f>AA64-AB64</f>
        <v>5.3594803590215063</v>
      </c>
      <c r="AF64" s="10">
        <f t="shared" ref="AF64:AG64" si="38">SUM(AF61-AF62-AF63)/AF61*100</f>
        <v>12.516318900863736</v>
      </c>
      <c r="AG64" s="10">
        <f t="shared" si="38"/>
        <v>11.359199638757445</v>
      </c>
      <c r="AI64" s="10">
        <f>AF64-AG64</f>
        <v>1.1571192621062902</v>
      </c>
      <c r="AK64" s="10">
        <f>SUM(AK61-AK62-AK63)/AK61*100</f>
        <v>11.537277828358221</v>
      </c>
      <c r="AL64" s="10">
        <f>SUM(AL61-AL62-AL63)/AL61*100</f>
        <v>10.548952454452385</v>
      </c>
      <c r="AN64" s="10">
        <f>AK64-AL64</f>
        <v>0.98832537390583575</v>
      </c>
    </row>
    <row r="65" spans="1:40" s="10" customFormat="1" ht="15" customHeight="1" x14ac:dyDescent="0.25">
      <c r="A65" s="27" t="s">
        <v>64</v>
      </c>
      <c r="B65" s="10">
        <f>B13/(B62+B63)</f>
        <v>10.563211938475268</v>
      </c>
      <c r="C65" s="10">
        <f>C13/(C62+C63)</f>
        <v>9.3603040987894346</v>
      </c>
      <c r="D65" s="10">
        <f>B65-C65</f>
        <v>1.2029078396858335</v>
      </c>
      <c r="E65" s="9">
        <f>D65/C65*100</f>
        <v>12.851161960020136</v>
      </c>
      <c r="G65" s="10">
        <f>G13/(G62+G63)</f>
        <v>14.007767694660352</v>
      </c>
      <c r="H65" s="10">
        <f>H13/(H62+H63)</f>
        <v>12.62343994156549</v>
      </c>
      <c r="I65" s="10">
        <f>G65-H65</f>
        <v>1.3843277530948619</v>
      </c>
      <c r="J65" s="9">
        <f>I65/H65*100</f>
        <v>10.966327399686469</v>
      </c>
      <c r="L65" s="10">
        <f>L13/(L62+L63)</f>
        <v>14.418057164357561</v>
      </c>
      <c r="M65" s="10">
        <f>M13/(M62+M63)</f>
        <v>12.967364235845354</v>
      </c>
      <c r="N65" s="10">
        <f>L65-M65</f>
        <v>1.4506929285122077</v>
      </c>
      <c r="O65" s="9">
        <f>N65/M65*100</f>
        <v>11.187261359576022</v>
      </c>
      <c r="Q65" s="10">
        <f>Q13/(Q62+Q63)</f>
        <v>12.41401009449979</v>
      </c>
      <c r="R65" s="10">
        <f>R13/(R62+R63)</f>
        <v>11.831600052086115</v>
      </c>
      <c r="S65" s="10">
        <f>Q65-R65</f>
        <v>0.58241004241367555</v>
      </c>
      <c r="T65" s="9">
        <f>S65/R65*100</f>
        <v>4.9224960263171393</v>
      </c>
      <c r="V65" s="10">
        <f>V13/(V62+V63)</f>
        <v>15.211553671366911</v>
      </c>
      <c r="W65" s="10">
        <f>W13/(W62+W63)</f>
        <v>13.445909431437338</v>
      </c>
      <c r="X65" s="10">
        <f>V65-W65</f>
        <v>1.7656442399295731</v>
      </c>
      <c r="Y65" s="9">
        <f>X65/W65*100</f>
        <v>13.131460158443367</v>
      </c>
      <c r="AA65" s="10">
        <f>AA13/(AA62+AA63)</f>
        <v>15.816493959782703</v>
      </c>
      <c r="AB65" s="10">
        <f>AB13/(AB62+AB63)</f>
        <v>3.0731643769523163</v>
      </c>
      <c r="AC65" s="10">
        <f>AA65-AB65</f>
        <v>12.743329582830386</v>
      </c>
      <c r="AD65" s="9">
        <f>AC65/AB65*100</f>
        <v>414.66475657472176</v>
      </c>
      <c r="AF65" s="10">
        <f>AF13/(AF62+AF63)</f>
        <v>13.95287674684675</v>
      </c>
      <c r="AG65" s="10">
        <f>AG13/(AG62+AG63)</f>
        <v>12.863851919977186</v>
      </c>
      <c r="AH65" s="10">
        <f>AF65-AG65</f>
        <v>1.0890248268695633</v>
      </c>
      <c r="AI65" s="9">
        <f>AH65/AG65*100</f>
        <v>8.4657755207702561</v>
      </c>
      <c r="AJ65" s="9"/>
      <c r="AK65" s="10">
        <f>AK13/(AK62+AK63)</f>
        <v>13.912835723555462</v>
      </c>
      <c r="AL65" s="10">
        <f>AL13/(AL62+AL63)</f>
        <v>10.71086529427255</v>
      </c>
      <c r="AM65" s="10">
        <f>AK65-AL65</f>
        <v>3.2019704292829125</v>
      </c>
      <c r="AN65" s="9">
        <f>AM65/AL65*100</f>
        <v>29.89460086847615</v>
      </c>
    </row>
    <row r="66" spans="1:40" s="10" customFormat="1" ht="15" customHeight="1" x14ac:dyDescent="0.25">
      <c r="A66" s="27" t="s">
        <v>65</v>
      </c>
      <c r="B66" s="10">
        <f>B22/B61</f>
        <v>6.6144026312353841</v>
      </c>
      <c r="C66" s="10">
        <f>C22/C61</f>
        <v>6.6656355248617958</v>
      </c>
      <c r="D66" s="10">
        <f>B66-C66</f>
        <v>-5.1232893626411702E-2</v>
      </c>
      <c r="E66" s="9">
        <f>D66/C66*100</f>
        <v>-0.7686122866352485</v>
      </c>
      <c r="G66" s="10">
        <f>G22/G61</f>
        <v>9.3547361372929068</v>
      </c>
      <c r="H66" s="10">
        <f>H22/H61</f>
        <v>9.0039647521612096</v>
      </c>
      <c r="I66" s="10">
        <f>G66-H66</f>
        <v>0.35077138513169714</v>
      </c>
      <c r="J66" s="9">
        <f>I66/H66*100</f>
        <v>3.8957436505679564</v>
      </c>
      <c r="L66" s="10">
        <f>L22/L61</f>
        <v>10.673175917792673</v>
      </c>
      <c r="M66" s="10">
        <f>M22/M61</f>
        <v>9.4281848696182209</v>
      </c>
      <c r="N66" s="10">
        <f>L66-M66</f>
        <v>1.2449910481744517</v>
      </c>
      <c r="O66" s="9">
        <f>N66/M66*100</f>
        <v>13.204991898136864</v>
      </c>
      <c r="Q66" s="10">
        <f>Q22/Q61</f>
        <v>9.3543410745721491</v>
      </c>
      <c r="R66" s="10">
        <f>R22/R61</f>
        <v>9.5844453592367742</v>
      </c>
      <c r="S66" s="10">
        <f>Q66-R66</f>
        <v>-0.23010428466462507</v>
      </c>
      <c r="T66" s="9">
        <f>S66/R66*100</f>
        <v>-2.4008096038949995</v>
      </c>
      <c r="V66" s="28">
        <f>V22/V61</f>
        <v>10.277550053202351</v>
      </c>
      <c r="W66" s="28">
        <f>W22/W61</f>
        <v>10.055301472124556</v>
      </c>
      <c r="X66" s="10">
        <f>V66-W66</f>
        <v>0.22224858107779433</v>
      </c>
      <c r="Y66" s="9">
        <f>X66/W66*100</f>
        <v>2.2102627324890745</v>
      </c>
      <c r="AA66" s="10">
        <f>AA22/AA61</f>
        <v>10.645921842894335</v>
      </c>
      <c r="AB66" s="10">
        <f>AB22/AB61</f>
        <v>2.1807263572239939</v>
      </c>
      <c r="AC66" s="10">
        <f>AA66-AB66</f>
        <v>8.4651954856703409</v>
      </c>
      <c r="AD66" s="9">
        <f>AC66/AB66*100</f>
        <v>388.18238050033511</v>
      </c>
      <c r="AF66" s="10">
        <f>AF22/AF61</f>
        <v>9.0143604021475134</v>
      </c>
      <c r="AG66" s="10">
        <f>AG22/AG61</f>
        <v>8.9162246895133013</v>
      </c>
      <c r="AH66" s="10">
        <f>AF66-AG66</f>
        <v>9.8135712634212169E-2</v>
      </c>
      <c r="AI66" s="9">
        <f>AH66/AG66*100</f>
        <v>1.100641987517802</v>
      </c>
      <c r="AJ66" s="9"/>
      <c r="AK66" s="10">
        <f>AK22/AK61</f>
        <v>9.790602313912002</v>
      </c>
      <c r="AL66" s="10">
        <f>AL22/AL61</f>
        <v>8.1266626156843333</v>
      </c>
      <c r="AM66" s="10">
        <f>AK66-AL66</f>
        <v>1.6639396982276686</v>
      </c>
      <c r="AN66" s="9">
        <f>AM66/AL66*100</f>
        <v>20.475068018897336</v>
      </c>
    </row>
    <row r="67" spans="1:40" s="10" customFormat="1" ht="15" hidden="1" customHeight="1" x14ac:dyDescent="0.25">
      <c r="A67" s="27" t="s">
        <v>66</v>
      </c>
      <c r="E67" s="9">
        <f>B67-C67</f>
        <v>0</v>
      </c>
      <c r="J67" s="9">
        <f>G67-H67</f>
        <v>0</v>
      </c>
      <c r="O67" s="9">
        <f>L67-M67</f>
        <v>0</v>
      </c>
      <c r="T67" s="9">
        <f>Q67-R67</f>
        <v>0</v>
      </c>
      <c r="V67" s="28"/>
      <c r="W67" s="28"/>
      <c r="Y67" s="9">
        <f>V67-W67</f>
        <v>0</v>
      </c>
      <c r="AD67" s="9">
        <f>AA67-AB67</f>
        <v>0</v>
      </c>
      <c r="AI67" s="9">
        <f>AF67-AG67</f>
        <v>0</v>
      </c>
      <c r="AJ67" s="9"/>
      <c r="AL67" s="10">
        <v>46</v>
      </c>
      <c r="AN67" s="9">
        <f>AK67-AL67</f>
        <v>-46</v>
      </c>
    </row>
    <row r="68" spans="1:40" s="25" customFormat="1" ht="15" customHeight="1" x14ac:dyDescent="0.25">
      <c r="A68" s="27" t="s">
        <v>77</v>
      </c>
      <c r="B68" s="25">
        <v>95.36</v>
      </c>
      <c r="C68" s="25">
        <f>'[7]2 COLL EFF YELLOW ECs'!$D$13</f>
        <v>94.019676557229076</v>
      </c>
      <c r="E68" s="10">
        <f>B68-C68</f>
        <v>1.3403234427709236</v>
      </c>
      <c r="G68" s="25">
        <v>100</v>
      </c>
      <c r="H68" s="25" t="str">
        <f>'[7]2 COLL EFF YELLOW ECs'!$D$14</f>
        <v>100.00</v>
      </c>
      <c r="J68" s="10">
        <f>G68-H68</f>
        <v>0</v>
      </c>
      <c r="L68" s="25" t="str">
        <f>'[7]2 COLL EFF YELLOW ECs'!$D$15</f>
        <v>100.00</v>
      </c>
      <c r="M68" s="25" t="str">
        <f>'[7]2 COLL EFF YELLOW ECs'!$D$15</f>
        <v>100.00</v>
      </c>
      <c r="O68" s="10">
        <f>L68-M68</f>
        <v>0</v>
      </c>
      <c r="Q68" s="25">
        <v>97.62</v>
      </c>
      <c r="R68" s="25">
        <f>'[7]2 COLL EFF YELLOW ECs'!$D$16</f>
        <v>96.66</v>
      </c>
      <c r="T68" s="10">
        <f>Q68-R68</f>
        <v>0.96000000000000796</v>
      </c>
      <c r="V68" s="26">
        <v>93.65</v>
      </c>
      <c r="W68" s="26">
        <v>89.27</v>
      </c>
      <c r="Y68" s="10">
        <f>V68-W68</f>
        <v>4.3800000000000097</v>
      </c>
      <c r="AA68" s="25">
        <v>90.28</v>
      </c>
      <c r="AB68" s="25">
        <v>87.8</v>
      </c>
      <c r="AD68" s="10">
        <f>AA68-AB68</f>
        <v>2.480000000000004</v>
      </c>
      <c r="AF68" s="25" t="str">
        <f>'[7]2 COLL EFF YELLOW ECs'!$D$19</f>
        <v>100.00</v>
      </c>
      <c r="AG68" s="25" t="str">
        <f>'[7]2 COLL EFF YELLOW ECs'!$D$19</f>
        <v>100.00</v>
      </c>
      <c r="AI68" s="10">
        <f>AF68-AG68</f>
        <v>0</v>
      </c>
      <c r="AK68" s="25">
        <f>(B68+G68+L68+Q68+V68+AA68+AF68)/7</f>
        <v>96.701428571428565</v>
      </c>
      <c r="AL68" s="25">
        <f>(C68+H68+M68+R68+W68+AB68+AG68)/7</f>
        <v>95.392810936746997</v>
      </c>
      <c r="AN68" s="10">
        <f>AK68-AL68</f>
        <v>1.3086176346815677</v>
      </c>
    </row>
    <row r="69" spans="1:40" s="9" customFormat="1" ht="15" customHeight="1" x14ac:dyDescent="0.25">
      <c r="A69" s="11" t="s">
        <v>67</v>
      </c>
      <c r="B69" s="9">
        <v>7394</v>
      </c>
      <c r="C69" s="9">
        <f>VLOOKUP(C7,[8]Sheet1!$A$11:$D$62,4,)</f>
        <v>7064</v>
      </c>
      <c r="D69" s="9">
        <f>B69-C69</f>
        <v>330</v>
      </c>
      <c r="E69" s="9">
        <f>D69/C69*100</f>
        <v>4.6715741789354475</v>
      </c>
      <c r="G69" s="9">
        <v>161226</v>
      </c>
      <c r="H69" s="9">
        <f>VLOOKUP(H7,[8]Sheet1!$A$11:$D$62,4,)</f>
        <v>156724</v>
      </c>
      <c r="I69" s="9">
        <f>G69-H69</f>
        <v>4502</v>
      </c>
      <c r="J69" s="9">
        <f>I69/H69*100</f>
        <v>2.8725657844363339</v>
      </c>
      <c r="L69" s="9">
        <v>138821</v>
      </c>
      <c r="M69" s="9">
        <f>VLOOKUP(M7,[8]Sheet1!$A$11:$D$62,4,)</f>
        <v>136418</v>
      </c>
      <c r="N69" s="9">
        <f>L69-M69</f>
        <v>2403</v>
      </c>
      <c r="O69" s="9">
        <f>N69/M69*100</f>
        <v>1.7614977495638406</v>
      </c>
      <c r="Q69" s="9">
        <v>226355</v>
      </c>
      <c r="R69" s="9">
        <f>VLOOKUP(R7,[8]Sheet1!$A$11:$D$62,4,)</f>
        <v>221952</v>
      </c>
      <c r="S69" s="9">
        <f>Q69-R69</f>
        <v>4403</v>
      </c>
      <c r="T69" s="9">
        <f>S69/R69*100</f>
        <v>1.9837622549019607</v>
      </c>
      <c r="V69" s="18">
        <v>186048</v>
      </c>
      <c r="W69" s="18">
        <v>179644</v>
      </c>
      <c r="X69" s="9">
        <f>V69-W69</f>
        <v>6404</v>
      </c>
      <c r="Y69" s="9">
        <f>X69/W69*100</f>
        <v>3.5648282158045914</v>
      </c>
      <c r="AA69" s="9">
        <v>110626</v>
      </c>
      <c r="AB69" s="9">
        <f>VLOOKUP(AB7,[8]Sheet1!$A$11:$D$62,4,)</f>
        <v>111008</v>
      </c>
      <c r="AC69" s="9">
        <f>AA69-AB69</f>
        <v>-382</v>
      </c>
      <c r="AD69" s="9">
        <f>AC69/AB69*100</f>
        <v>-0.34411934275007205</v>
      </c>
      <c r="AF69" s="9">
        <v>52615</v>
      </c>
      <c r="AG69" s="9">
        <f>VLOOKUP(AG7,[8]Sheet1!$A$11:$D$62,4,)</f>
        <v>51238</v>
      </c>
      <c r="AH69" s="9">
        <f>AF69-AG69</f>
        <v>1377</v>
      </c>
      <c r="AI69" s="9">
        <f>AH69/AG69*100</f>
        <v>2.6874585268745852</v>
      </c>
      <c r="AK69" s="9">
        <f>B69+G69+L69+Q69+V69+AA69+AF69</f>
        <v>883085</v>
      </c>
      <c r="AL69" s="9">
        <f>C69+H69+M69+R69+W69+AB69+AG69</f>
        <v>864048</v>
      </c>
      <c r="AM69" s="9">
        <f>AK69-AL69</f>
        <v>19037</v>
      </c>
      <c r="AN69" s="9">
        <f>AM69/AL69*100</f>
        <v>2.2032340795881709</v>
      </c>
    </row>
    <row r="70" spans="1:40" s="9" customFormat="1" ht="15" customHeight="1" x14ac:dyDescent="0.25">
      <c r="A70" s="11" t="s">
        <v>68</v>
      </c>
      <c r="B70" s="9">
        <v>41</v>
      </c>
      <c r="C70" s="9">
        <v>41</v>
      </c>
      <c r="D70" s="9">
        <f>B70-C70</f>
        <v>0</v>
      </c>
      <c r="E70" s="9">
        <f>D70/C70*100</f>
        <v>0</v>
      </c>
      <c r="G70" s="9">
        <v>289</v>
      </c>
      <c r="H70" s="9">
        <v>289</v>
      </c>
      <c r="I70" s="9">
        <f>G70-H70</f>
        <v>0</v>
      </c>
      <c r="J70" s="9">
        <f>I70/H70*100</f>
        <v>0</v>
      </c>
      <c r="L70" s="9">
        <v>260</v>
      </c>
      <c r="M70" s="9">
        <v>255</v>
      </c>
      <c r="N70" s="9">
        <f>L70-M70</f>
        <v>5</v>
      </c>
      <c r="O70" s="9">
        <f>N70/M70*100</f>
        <v>1.9607843137254901</v>
      </c>
      <c r="Q70" s="9">
        <v>338</v>
      </c>
      <c r="R70" s="9">
        <v>357</v>
      </c>
      <c r="S70" s="9">
        <f>Q70-R70</f>
        <v>-19</v>
      </c>
      <c r="T70" s="9">
        <f>S70/R70*100</f>
        <v>-5.322128851540616</v>
      </c>
      <c r="V70" s="18">
        <v>458</v>
      </c>
      <c r="W70" s="18">
        <v>0</v>
      </c>
      <c r="X70" s="9">
        <f>V70-W70</f>
        <v>458</v>
      </c>
      <c r="Y70" s="9">
        <f>IFERROR(X70/W70*100,0)</f>
        <v>0</v>
      </c>
      <c r="AA70" s="9">
        <v>222</v>
      </c>
      <c r="AB70" s="9">
        <v>251</v>
      </c>
      <c r="AC70" s="9">
        <f>AA70-AB70</f>
        <v>-29</v>
      </c>
      <c r="AD70" s="9">
        <f>AC70/AB70*100</f>
        <v>-11.553784860557768</v>
      </c>
      <c r="AF70" s="9">
        <v>134</v>
      </c>
      <c r="AG70" s="9">
        <f>VLOOKUP(AG7,[8]Sheet1!$A$11:$D$62,3,)</f>
        <v>128</v>
      </c>
      <c r="AH70" s="9">
        <f>AF70-AG70</f>
        <v>6</v>
      </c>
      <c r="AI70" s="9">
        <f>AH70/AG70*100</f>
        <v>4.6875</v>
      </c>
      <c r="AK70" s="9">
        <f>B70+G70+L70+Q70+V70+AA70+AF70</f>
        <v>1742</v>
      </c>
      <c r="AL70" s="9">
        <f>C70+H70+M70+R70+W70+AB70+AG70</f>
        <v>1321</v>
      </c>
      <c r="AM70" s="9">
        <f>AK70-AL70</f>
        <v>421</v>
      </c>
      <c r="AN70" s="9">
        <f>AM70/AL70*100</f>
        <v>31.869795609386831</v>
      </c>
    </row>
    <row r="71" spans="1:40" s="9" customFormat="1" ht="15" customHeight="1" x14ac:dyDescent="0.25">
      <c r="A71" s="11" t="s">
        <v>69</v>
      </c>
      <c r="B71" s="9">
        <f>B69/B70</f>
        <v>180.34146341463415</v>
      </c>
      <c r="C71" s="9">
        <f>C69/C70</f>
        <v>172.29268292682926</v>
      </c>
      <c r="D71" s="9">
        <f>B71-C71</f>
        <v>8.0487804878048905</v>
      </c>
      <c r="E71" s="9">
        <f>D71/C71*100</f>
        <v>4.6715741789354555</v>
      </c>
      <c r="G71" s="9">
        <f>G69/G70</f>
        <v>557.87543252595151</v>
      </c>
      <c r="H71" s="9">
        <f>H69/H70</f>
        <v>542.29757785467132</v>
      </c>
      <c r="I71" s="9">
        <f>G71-H71</f>
        <v>15.577854671280193</v>
      </c>
      <c r="J71" s="9">
        <f>I71/H71*100</f>
        <v>2.8725657844363184</v>
      </c>
      <c r="L71" s="9">
        <f>L69/L70</f>
        <v>533.92692307692312</v>
      </c>
      <c r="M71" s="9">
        <f>M69/M70</f>
        <v>534.97254901960787</v>
      </c>
      <c r="N71" s="9">
        <f>L71-M71</f>
        <v>-1.045625942684751</v>
      </c>
      <c r="O71" s="9">
        <f>N71/M71*100</f>
        <v>-0.19545413023546121</v>
      </c>
      <c r="Q71" s="9">
        <f>Q69/Q70</f>
        <v>669.68934911242604</v>
      </c>
      <c r="R71" s="9">
        <f>R69/R70</f>
        <v>621.71428571428567</v>
      </c>
      <c r="S71" s="9">
        <f>Q71-R71</f>
        <v>47.975063398140378</v>
      </c>
      <c r="T71" s="9">
        <f>S71/R71*100</f>
        <v>7.7165772928994176</v>
      </c>
      <c r="V71" s="18">
        <f>V69/V70</f>
        <v>406.21834061135371</v>
      </c>
      <c r="W71" s="18">
        <f>IFERROR(W69/W70,0)</f>
        <v>0</v>
      </c>
      <c r="X71" s="9">
        <f>V71-W71</f>
        <v>406.21834061135371</v>
      </c>
      <c r="Y71" s="9">
        <f>IFERROR(X71/W71*100,0)</f>
        <v>0</v>
      </c>
      <c r="AA71" s="9">
        <f>AA69/AA70</f>
        <v>498.31531531531533</v>
      </c>
      <c r="AB71" s="9">
        <f>AB69/AB70</f>
        <v>442.26294820717129</v>
      </c>
      <c r="AC71" s="9">
        <f>AA71-AB71</f>
        <v>56.05236710814404</v>
      </c>
      <c r="AD71" s="9">
        <f>AC71/AB71*100</f>
        <v>12.673991193557359</v>
      </c>
      <c r="AF71" s="9">
        <f>AF69/AF70</f>
        <v>392.64925373134326</v>
      </c>
      <c r="AG71" s="9">
        <f>AG69/AG70</f>
        <v>400.296875</v>
      </c>
      <c r="AH71" s="9">
        <f>AF71-AG71</f>
        <v>-7.6476212686567351</v>
      </c>
      <c r="AI71" s="9">
        <f>AH71/AG71*100</f>
        <v>-1.9104873773138336</v>
      </c>
      <c r="AK71" s="9">
        <f>AK69/AK70</f>
        <v>506.93742824339841</v>
      </c>
      <c r="AL71" s="9">
        <f>AL69/AL70</f>
        <v>654.08629825889477</v>
      </c>
      <c r="AM71" s="9">
        <f>AK71-AL71</f>
        <v>-147.14887001549636</v>
      </c>
      <c r="AN71" s="9">
        <f>AM71/AL71*100</f>
        <v>-22.49685865721241</v>
      </c>
    </row>
    <row r="72" spans="1:40" s="9" customFormat="1" ht="15" customHeight="1" x14ac:dyDescent="0.25">
      <c r="A72" s="11" t="s">
        <v>70</v>
      </c>
      <c r="B72" s="9">
        <f>(1000*B24)/B69</f>
        <v>1973.7522572355963</v>
      </c>
      <c r="C72" s="9">
        <f>(1000*C24)/C69</f>
        <v>1770.154726783692</v>
      </c>
      <c r="D72" s="9">
        <f>B72-C72</f>
        <v>203.59753045190428</v>
      </c>
      <c r="E72" s="9">
        <f>D72/C72*100</f>
        <v>11.501679902402302</v>
      </c>
      <c r="G72" s="9">
        <f>(1000*G24)/G69</f>
        <v>1005.4517353900736</v>
      </c>
      <c r="H72" s="9">
        <f>(1000*H24)/H69</f>
        <v>992.54863779638072</v>
      </c>
      <c r="I72" s="9">
        <f>G72-H72</f>
        <v>12.903097593692905</v>
      </c>
      <c r="J72" s="9">
        <f>I72/H72*100</f>
        <v>1.2999965041854149</v>
      </c>
      <c r="L72" s="9">
        <f>(1000*L24)/L69</f>
        <v>1014.1912722858932</v>
      </c>
      <c r="M72" s="9">
        <f>(1000*M24)/M69</f>
        <v>879.70398275887351</v>
      </c>
      <c r="N72" s="9">
        <f>L72-M72</f>
        <v>134.4872895270197</v>
      </c>
      <c r="O72" s="9">
        <f>N72/M72*100</f>
        <v>15.287789093013874</v>
      </c>
      <c r="Q72" s="9">
        <f>(1000*Q24)/Q69</f>
        <v>859.63518261138472</v>
      </c>
      <c r="R72" s="9">
        <f>(1000*R24)/R69</f>
        <v>786.6659177660033</v>
      </c>
      <c r="S72" s="9">
        <f>Q72-R72</f>
        <v>72.969264845381417</v>
      </c>
      <c r="T72" s="9">
        <f>S72/R72*100</f>
        <v>9.2757628362242581</v>
      </c>
      <c r="V72" s="18">
        <f>(1000*V24)/V69</f>
        <v>1090.5292943218953</v>
      </c>
      <c r="W72" s="18">
        <f>(1000*W24)/W69</f>
        <v>962.42636887399533</v>
      </c>
      <c r="X72" s="9">
        <f>V72-W72</f>
        <v>128.10292544790002</v>
      </c>
      <c r="Y72" s="9">
        <f>X72/W72*100</f>
        <v>13.310413096617033</v>
      </c>
      <c r="AA72" s="9">
        <f>(1000*AA24)/AA69</f>
        <v>1267.2538415019976</v>
      </c>
      <c r="AB72" s="9">
        <f>(1000*AB24)/AB69</f>
        <v>435.48023322643417</v>
      </c>
      <c r="AC72" s="9">
        <f>AA72-AB72</f>
        <v>831.77360827556345</v>
      </c>
      <c r="AD72" s="9">
        <f>AC72/AB72*100</f>
        <v>191.00146110261471</v>
      </c>
      <c r="AF72" s="9">
        <f>(1000*AF24)/AF69</f>
        <v>1030.1645958376889</v>
      </c>
      <c r="AG72" s="9">
        <f>(1000*AG24)/AG69</f>
        <v>872.09861099184195</v>
      </c>
      <c r="AH72" s="9">
        <f>AF72-AG72</f>
        <v>158.06598484584697</v>
      </c>
      <c r="AI72" s="9">
        <f>AH72/AG72*100</f>
        <v>18.124783465264066</v>
      </c>
      <c r="AK72" s="9">
        <f>(1000*AK24)/AK69</f>
        <v>1029.7500035443925</v>
      </c>
      <c r="AL72" s="9">
        <f>(1000*AL24)/AL69</f>
        <v>843.22930944808627</v>
      </c>
      <c r="AM72" s="9">
        <f>AK72-AL72</f>
        <v>186.52069409630622</v>
      </c>
      <c r="AN72" s="9">
        <f>AM72/AL72*100</f>
        <v>22.119806795898551</v>
      </c>
    </row>
    <row r="73" spans="1:40" s="9" customFormat="1" x14ac:dyDescent="0.25">
      <c r="A73" s="11" t="s">
        <v>71</v>
      </c>
      <c r="B73" s="9">
        <v>2493</v>
      </c>
      <c r="C73" s="9">
        <f>VLOOKUP(C7,[6]Sheet1!$A$13:$G$55,7,)</f>
        <v>2278</v>
      </c>
      <c r="D73" s="9">
        <f>B73-C73</f>
        <v>215</v>
      </c>
      <c r="E73" s="9">
        <f>D73/C73*100</f>
        <v>9.4381035996488141</v>
      </c>
      <c r="G73" s="9">
        <v>77544</v>
      </c>
      <c r="H73" s="9">
        <f>VLOOKUP(H7,[6]Sheet1!$A$13:$G$55,7,)</f>
        <v>68725.210000000006</v>
      </c>
      <c r="I73" s="9">
        <f>G73-H73</f>
        <v>8818.7899999999936</v>
      </c>
      <c r="J73" s="9">
        <f>I73/H73*100</f>
        <v>12.831957879794025</v>
      </c>
      <c r="L73" s="9">
        <v>43733.200999999994</v>
      </c>
      <c r="M73" s="9">
        <f>VLOOKUP(M7,[6]Sheet1!$A$13:$G$55,7,)</f>
        <v>41263.040000000001</v>
      </c>
      <c r="N73" s="9">
        <f>L73-M73</f>
        <v>2470.1609999999928</v>
      </c>
      <c r="O73" s="9">
        <f>N73/M73*100</f>
        <v>5.9863766702598564</v>
      </c>
      <c r="Q73" s="9">
        <v>107388.864</v>
      </c>
      <c r="R73" s="9">
        <f>VLOOKUP(R7,[6]Sheet1!$A$13:$G$55,7,)</f>
        <v>99169.88</v>
      </c>
      <c r="S73" s="9">
        <f>Q73-R73</f>
        <v>8218.9839999999967</v>
      </c>
      <c r="T73" s="9">
        <f>S73/R73*100</f>
        <v>8.2877825404245691</v>
      </c>
      <c r="V73" s="18">
        <v>54441.576000000001</v>
      </c>
      <c r="W73" s="18">
        <v>49610</v>
      </c>
      <c r="X73" s="9">
        <f>V73-W73</f>
        <v>4831.5760000000009</v>
      </c>
      <c r="Y73" s="9">
        <f>X73/W73*100</f>
        <v>9.7391171134851859</v>
      </c>
      <c r="AA73" s="9">
        <v>33203.18</v>
      </c>
      <c r="AB73" s="9">
        <f>VLOOKUP(AB7,[6]Sheet1!$A$13:$G$55,7,)</f>
        <v>32152.34</v>
      </c>
      <c r="AC73" s="9">
        <f>AA73-AB73</f>
        <v>1050.8400000000001</v>
      </c>
      <c r="AD73" s="9">
        <f>AC73/AB73*100</f>
        <v>3.2683157742173665</v>
      </c>
      <c r="AF73" s="9">
        <v>12359</v>
      </c>
      <c r="AG73" s="9">
        <f>VLOOKUP(AG7,[6]Sheet1!$A$13:$G$55,7,)</f>
        <v>11992</v>
      </c>
      <c r="AH73" s="9">
        <f>AF73-AG73</f>
        <v>367</v>
      </c>
      <c r="AI73" s="9">
        <f>AH73/AG73*100</f>
        <v>3.0603735823882587</v>
      </c>
      <c r="AK73" s="9">
        <f>B73+G73+L73+Q73+V73+AA73+AF73</f>
        <v>331162.821</v>
      </c>
      <c r="AL73" s="9">
        <f>C73+H73+M73+R73+W73+AB73+AG73</f>
        <v>305190.47000000003</v>
      </c>
      <c r="AM73" s="9">
        <f>AK73-AL73</f>
        <v>25972.350999999966</v>
      </c>
      <c r="AN73" s="9">
        <f>AM73/AL73*100</f>
        <v>8.5102103614178919</v>
      </c>
    </row>
    <row r="74" spans="1:40" x14ac:dyDescent="0.25">
      <c r="A74" s="2" t="s">
        <v>72</v>
      </c>
      <c r="B74" s="32" t="s">
        <v>73</v>
      </c>
      <c r="C74" s="32"/>
      <c r="D74" s="32"/>
      <c r="E74" s="32"/>
      <c r="F74" s="12"/>
      <c r="G74" s="32" t="s">
        <v>74</v>
      </c>
      <c r="H74" s="32"/>
      <c r="I74" s="32"/>
      <c r="J74" s="32"/>
      <c r="K74" s="19"/>
      <c r="L74" s="32" t="s">
        <v>74</v>
      </c>
      <c r="M74" s="32"/>
      <c r="N74" s="32"/>
      <c r="O74" s="32"/>
      <c r="P74" s="12"/>
      <c r="Q74" s="32" t="s">
        <v>74</v>
      </c>
      <c r="R74" s="32"/>
      <c r="S74" s="32"/>
      <c r="T74" s="32"/>
      <c r="U74" s="19"/>
      <c r="V74" s="32" t="s">
        <v>75</v>
      </c>
      <c r="W74" s="32"/>
      <c r="X74" s="32"/>
      <c r="Y74" s="32"/>
      <c r="Z74" s="12"/>
      <c r="AA74" s="32" t="s">
        <v>74</v>
      </c>
      <c r="AB74" s="32"/>
      <c r="AC74" s="32"/>
      <c r="AD74" s="32"/>
      <c r="AE74" s="12"/>
      <c r="AF74" s="32" t="s">
        <v>76</v>
      </c>
      <c r="AG74" s="32"/>
      <c r="AH74" s="32"/>
      <c r="AI74" s="32"/>
      <c r="AJ74" s="19"/>
      <c r="AK74" s="12"/>
      <c r="AL74" s="12"/>
      <c r="AM74" s="12"/>
      <c r="AN74" s="9"/>
    </row>
    <row r="75" spans="1:40" x14ac:dyDescent="0.25">
      <c r="AN75" s="24"/>
    </row>
    <row r="77" spans="1:40" x14ac:dyDescent="0.25">
      <c r="A77" s="2" t="s">
        <v>78</v>
      </c>
    </row>
    <row r="83" spans="1:8" x14ac:dyDescent="0.25">
      <c r="B83" s="20"/>
      <c r="C83" s="20"/>
      <c r="G83" s="20"/>
      <c r="H83" s="20"/>
    </row>
    <row r="90" spans="1:8" hidden="1" x14ac:dyDescent="0.25">
      <c r="A90" s="2">
        <v>1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K5:AN5"/>
    <mergeCell ref="B6:E6"/>
    <mergeCell ref="F6:J6"/>
    <mergeCell ref="L6:O6"/>
    <mergeCell ref="Q6:T6"/>
    <mergeCell ref="V6:Y6"/>
    <mergeCell ref="AA6:AD6"/>
    <mergeCell ref="AF6:AI6"/>
    <mergeCell ref="AK6:AN6"/>
    <mergeCell ref="B5:E5"/>
    <mergeCell ref="F5:J5"/>
    <mergeCell ref="L5:O5"/>
    <mergeCell ref="Q5:T5"/>
    <mergeCell ref="AA5:AD5"/>
    <mergeCell ref="AF5:AI5"/>
    <mergeCell ref="AH8:AI8"/>
    <mergeCell ref="AM8:AN8"/>
    <mergeCell ref="B74:E74"/>
    <mergeCell ref="G74:J74"/>
    <mergeCell ref="L74:O74"/>
    <mergeCell ref="Q74:T74"/>
    <mergeCell ref="V74:Y74"/>
    <mergeCell ref="AA74:AD74"/>
    <mergeCell ref="AF74:AI74"/>
    <mergeCell ref="D8:E8"/>
    <mergeCell ref="I8:J8"/>
    <mergeCell ref="N8:O8"/>
    <mergeCell ref="S8:T8"/>
    <mergeCell ref="X8:Y8"/>
    <mergeCell ref="AC8:AD8"/>
  </mergeCells>
  <pageMargins left="0.8" right="0" top="0.35" bottom="0" header="0.38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REG2</vt:lpstr>
      <vt:lpstr>'REG2'!Print_Area</vt:lpstr>
      <vt:lpstr>'REG2'!Print_Titles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2024-03-01T08:09:18Z</dcterms:created>
  <dcterms:modified xsi:type="dcterms:W3CDTF">2024-03-08T07:59:25Z</dcterms:modified>
</cp:coreProperties>
</file>